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240" yWindow="105" windowWidth="14805" windowHeight="8010" tabRatio="997" activeTab="3"/>
  </bookViews>
  <sheets>
    <sheet name="Участники" sheetId="1" r:id="rId1"/>
    <sheet name="Первый ЭТАП" sheetId="2" r:id="rId2"/>
    <sheet name="Расписание игр Этапа 1" sheetId="4" r:id="rId3"/>
    <sheet name="Финал и доигровки" sheetId="3" r:id="rId4"/>
    <sheet name="Расписание игр Этапа 2" sheetId="5" r:id="rId5"/>
    <sheet name="Олимп. до 2-х поражений" sheetId="7" r:id="rId6"/>
    <sheet name="Итоговый протокол" sheetId="6" r:id="rId7"/>
  </sheets>
  <calcPr calcId="125725"/>
</workbook>
</file>

<file path=xl/calcChain.xml><?xml version="1.0" encoding="utf-8"?>
<calcChain xmlns="http://schemas.openxmlformats.org/spreadsheetml/2006/main">
  <c r="P47" i="3"/>
  <c r="J47"/>
  <c r="U45" i="7" l="1"/>
  <c r="T45"/>
  <c r="O22"/>
  <c r="N22"/>
  <c r="Q48"/>
  <c r="Q41"/>
  <c r="N53"/>
  <c r="N43"/>
  <c r="K12"/>
  <c r="K32"/>
  <c r="J55"/>
  <c r="J50"/>
  <c r="J45"/>
  <c r="J40"/>
  <c r="G57"/>
  <c r="G52"/>
  <c r="G47"/>
  <c r="G42"/>
  <c r="H26"/>
  <c r="H36"/>
  <c r="H16"/>
  <c r="H6"/>
  <c r="E38"/>
  <c r="E33"/>
  <c r="E28"/>
  <c r="E23"/>
  <c r="E18"/>
  <c r="E13"/>
  <c r="E8"/>
  <c r="E3"/>
  <c r="O32" i="2" l="1"/>
  <c r="O33"/>
  <c r="O34"/>
  <c r="O35"/>
  <c r="M32"/>
  <c r="M33"/>
  <c r="M34"/>
  <c r="K32"/>
  <c r="K33"/>
  <c r="I32"/>
  <c r="N35"/>
  <c r="N34"/>
  <c r="N33"/>
  <c r="N32"/>
  <c r="L34"/>
  <c r="L33"/>
  <c r="L32"/>
  <c r="J33"/>
  <c r="J32"/>
  <c r="H32"/>
  <c r="I23"/>
  <c r="H23"/>
  <c r="O23"/>
  <c r="O24"/>
  <c r="O25"/>
  <c r="O26"/>
  <c r="M23"/>
  <c r="M24"/>
  <c r="M25"/>
  <c r="K23"/>
  <c r="K24"/>
  <c r="N26"/>
  <c r="N25"/>
  <c r="N24"/>
  <c r="N23"/>
  <c r="L25"/>
  <c r="L24"/>
  <c r="L23"/>
  <c r="J24"/>
  <c r="J23"/>
  <c r="N9" i="1" l="1"/>
  <c r="N17" i="2" l="1"/>
  <c r="N16"/>
  <c r="N15"/>
  <c r="N14"/>
  <c r="L16"/>
  <c r="L15"/>
  <c r="L14"/>
  <c r="J15"/>
  <c r="J14"/>
  <c r="H14"/>
  <c r="O14"/>
  <c r="O15"/>
  <c r="O16"/>
  <c r="O17"/>
  <c r="M14"/>
  <c r="M15"/>
  <c r="M16"/>
  <c r="K14"/>
  <c r="K15"/>
  <c r="I14"/>
  <c r="O5"/>
  <c r="O6"/>
  <c r="O7"/>
  <c r="O8"/>
  <c r="M5"/>
  <c r="M6"/>
  <c r="M7"/>
  <c r="K5"/>
  <c r="K6"/>
  <c r="N8"/>
  <c r="N7"/>
  <c r="N6"/>
  <c r="N5"/>
  <c r="L7"/>
  <c r="L6"/>
  <c r="L5"/>
  <c r="J6"/>
  <c r="J5"/>
  <c r="I5"/>
  <c r="H5"/>
  <c r="G36" l="1"/>
  <c r="I35"/>
  <c r="H35"/>
  <c r="I34"/>
  <c r="F35"/>
  <c r="G35"/>
  <c r="M36"/>
  <c r="F34"/>
  <c r="G34"/>
  <c r="G33"/>
  <c r="K36"/>
  <c r="J36"/>
  <c r="K35"/>
  <c r="H36"/>
  <c r="I36"/>
  <c r="F27"/>
  <c r="G27"/>
  <c r="I26"/>
  <c r="H25"/>
  <c r="I25"/>
  <c r="G26"/>
  <c r="L27"/>
  <c r="M27"/>
  <c r="F25"/>
  <c r="F24"/>
  <c r="G24"/>
  <c r="K27"/>
  <c r="J27"/>
  <c r="J26"/>
  <c r="K26"/>
  <c r="H27"/>
  <c r="I27"/>
  <c r="F18"/>
  <c r="G18"/>
  <c r="I17"/>
  <c r="H16"/>
  <c r="I16"/>
  <c r="G17"/>
  <c r="L18"/>
  <c r="M18"/>
  <c r="F16"/>
  <c r="G16"/>
  <c r="F15"/>
  <c r="G15"/>
  <c r="K18"/>
  <c r="J17"/>
  <c r="H18"/>
  <c r="I18"/>
  <c r="E14"/>
  <c r="E15"/>
  <c r="E16"/>
  <c r="E17"/>
  <c r="E18"/>
  <c r="E5"/>
  <c r="E6"/>
  <c r="E7"/>
  <c r="E8"/>
  <c r="E9"/>
  <c r="E36"/>
  <c r="E27"/>
  <c r="E26"/>
  <c r="E35"/>
  <c r="I72" i="4" s="1"/>
  <c r="I78" s="1"/>
  <c r="E34" i="2"/>
  <c r="E25"/>
  <c r="E24"/>
  <c r="E33"/>
  <c r="E32"/>
  <c r="E23"/>
  <c r="F33"/>
  <c r="J35"/>
  <c r="F36"/>
  <c r="L36"/>
  <c r="G25"/>
  <c r="H26"/>
  <c r="F26"/>
  <c r="H17"/>
  <c r="K17"/>
  <c r="J18"/>
  <c r="F17"/>
  <c r="K8"/>
  <c r="J8"/>
  <c r="K9"/>
  <c r="J9"/>
  <c r="M9"/>
  <c r="L9"/>
  <c r="G7"/>
  <c r="F7"/>
  <c r="G8"/>
  <c r="F8"/>
  <c r="G9"/>
  <c r="F9"/>
  <c r="I7"/>
  <c r="H7"/>
  <c r="I8"/>
  <c r="H8"/>
  <c r="I9"/>
  <c r="H9"/>
  <c r="E58" i="4" l="1"/>
  <c r="I63" s="1"/>
  <c r="E55"/>
  <c r="E51"/>
  <c r="I51"/>
  <c r="I57"/>
  <c r="E61" s="1"/>
  <c r="I64" s="1"/>
  <c r="I21"/>
  <c r="E18"/>
  <c r="I8"/>
  <c r="I14"/>
  <c r="I37"/>
  <c r="I31"/>
  <c r="I40"/>
  <c r="I33"/>
  <c r="E57"/>
  <c r="E60" s="1"/>
  <c r="E63" s="1"/>
  <c r="E54"/>
  <c r="E52"/>
  <c r="I55"/>
  <c r="I60" s="1"/>
  <c r="E64" s="1"/>
  <c r="I54"/>
  <c r="I61" s="1"/>
  <c r="I52"/>
  <c r="I58"/>
  <c r="I12"/>
  <c r="E21"/>
  <c r="I17"/>
  <c r="E9"/>
  <c r="E75"/>
  <c r="E78"/>
  <c r="I76"/>
  <c r="I81" s="1"/>
  <c r="E85" s="1"/>
  <c r="E73"/>
  <c r="I73"/>
  <c r="I79" s="1"/>
  <c r="I82" s="1"/>
  <c r="I75"/>
  <c r="E8"/>
  <c r="I20"/>
  <c r="E15"/>
  <c r="E12"/>
  <c r="E43"/>
  <c r="I39"/>
  <c r="I34"/>
  <c r="E31"/>
  <c r="I42"/>
  <c r="E34"/>
  <c r="E30"/>
  <c r="E37"/>
  <c r="I85"/>
  <c r="E82"/>
  <c r="I18"/>
  <c r="I15"/>
  <c r="I9"/>
  <c r="I11"/>
  <c r="E14"/>
  <c r="E17"/>
  <c r="E20"/>
  <c r="E11"/>
  <c r="E36"/>
  <c r="E42"/>
  <c r="E39"/>
  <c r="E33"/>
  <c r="E76"/>
  <c r="E72"/>
  <c r="I30"/>
  <c r="I43"/>
  <c r="I36"/>
  <c r="E40"/>
  <c r="R34" i="2"/>
  <c r="Q26"/>
  <c r="R26"/>
  <c r="Q25"/>
  <c r="Q35"/>
  <c r="R35"/>
  <c r="R36"/>
  <c r="Q27"/>
  <c r="P27"/>
  <c r="P25"/>
  <c r="R23"/>
  <c r="R32"/>
  <c r="P26"/>
  <c r="P35"/>
  <c r="R33"/>
  <c r="P36"/>
  <c r="P33"/>
  <c r="Q33"/>
  <c r="Q36"/>
  <c r="H34"/>
  <c r="Q34" s="1"/>
  <c r="P32"/>
  <c r="Q32"/>
  <c r="P24"/>
  <c r="Q24"/>
  <c r="R25"/>
  <c r="R27"/>
  <c r="R24"/>
  <c r="P23"/>
  <c r="Q23"/>
  <c r="R14"/>
  <c r="Q18"/>
  <c r="P17"/>
  <c r="Q17"/>
  <c r="P18"/>
  <c r="P16"/>
  <c r="Q16"/>
  <c r="R17"/>
  <c r="P15"/>
  <c r="Q15"/>
  <c r="R16"/>
  <c r="R18"/>
  <c r="Q14"/>
  <c r="P14"/>
  <c r="R15"/>
  <c r="R7"/>
  <c r="Q7"/>
  <c r="P5"/>
  <c r="P7"/>
  <c r="Q9"/>
  <c r="Q8"/>
  <c r="P9"/>
  <c r="R9"/>
  <c r="P8"/>
  <c r="R8"/>
  <c r="Q5"/>
  <c r="R5"/>
  <c r="E84" i="4" l="1"/>
  <c r="E81"/>
  <c r="I84"/>
  <c r="E79"/>
  <c r="X27" i="2"/>
  <c r="X15"/>
  <c r="X14"/>
  <c r="X17"/>
  <c r="X16"/>
  <c r="X18"/>
  <c r="X24"/>
  <c r="P34"/>
  <c r="X34" s="1"/>
  <c r="X25"/>
  <c r="X23"/>
  <c r="X26"/>
  <c r="W20" i="3"/>
  <c r="W21"/>
  <c r="W22"/>
  <c r="W23"/>
  <c r="W24"/>
  <c r="W25"/>
  <c r="W26"/>
  <c r="U20"/>
  <c r="U21"/>
  <c r="U22"/>
  <c r="U23"/>
  <c r="U24"/>
  <c r="U25"/>
  <c r="S20"/>
  <c r="S21"/>
  <c r="S22"/>
  <c r="S23"/>
  <c r="S24"/>
  <c r="Q20"/>
  <c r="Q21"/>
  <c r="Q22"/>
  <c r="Q23"/>
  <c r="O20"/>
  <c r="O21"/>
  <c r="O22"/>
  <c r="M20"/>
  <c r="H22" s="1"/>
  <c r="M21"/>
  <c r="K20"/>
  <c r="V26"/>
  <c r="V25"/>
  <c r="V24"/>
  <c r="V23"/>
  <c r="V22"/>
  <c r="V21"/>
  <c r="V20"/>
  <c r="T25"/>
  <c r="T24"/>
  <c r="T23"/>
  <c r="T22"/>
  <c r="T21"/>
  <c r="T20"/>
  <c r="R24"/>
  <c r="R23"/>
  <c r="R22"/>
  <c r="R21"/>
  <c r="R20"/>
  <c r="P23"/>
  <c r="P22"/>
  <c r="P21"/>
  <c r="P20"/>
  <c r="N22"/>
  <c r="N21"/>
  <c r="N20"/>
  <c r="L21"/>
  <c r="L20"/>
  <c r="J20"/>
  <c r="W7"/>
  <c r="W8"/>
  <c r="W9"/>
  <c r="W10"/>
  <c r="W11"/>
  <c r="W12"/>
  <c r="W13"/>
  <c r="U7"/>
  <c r="U8"/>
  <c r="U9"/>
  <c r="U10"/>
  <c r="U11"/>
  <c r="U12"/>
  <c r="S7"/>
  <c r="S8"/>
  <c r="S9"/>
  <c r="S10"/>
  <c r="S11"/>
  <c r="Q7"/>
  <c r="Q8"/>
  <c r="Q9"/>
  <c r="Q10"/>
  <c r="O7"/>
  <c r="O8"/>
  <c r="O9"/>
  <c r="M7"/>
  <c r="H9" s="1"/>
  <c r="M8"/>
  <c r="K7"/>
  <c r="V13"/>
  <c r="V12"/>
  <c r="V11"/>
  <c r="V10"/>
  <c r="V9"/>
  <c r="V8"/>
  <c r="V7"/>
  <c r="T12"/>
  <c r="T11"/>
  <c r="T10"/>
  <c r="T9"/>
  <c r="T8"/>
  <c r="T7"/>
  <c r="R11"/>
  <c r="R10"/>
  <c r="R9"/>
  <c r="R8"/>
  <c r="R7"/>
  <c r="P10"/>
  <c r="P9"/>
  <c r="P8"/>
  <c r="P7"/>
  <c r="N9"/>
  <c r="N8"/>
  <c r="N7"/>
  <c r="L8"/>
  <c r="L7"/>
  <c r="J7"/>
  <c r="AB24" i="2" l="1"/>
  <c r="AB25"/>
  <c r="AB27"/>
  <c r="AB23"/>
  <c r="Z25"/>
  <c r="Z26"/>
  <c r="Z27"/>
  <c r="Z23"/>
  <c r="Y25"/>
  <c r="Y26"/>
  <c r="Y27"/>
  <c r="Y24"/>
  <c r="AA24"/>
  <c r="AA26"/>
  <c r="AA27"/>
  <c r="AA23"/>
  <c r="AC24"/>
  <c r="AC25"/>
  <c r="AC26"/>
  <c r="AC23"/>
  <c r="Y16"/>
  <c r="Y18"/>
  <c r="Y15"/>
  <c r="Y17"/>
  <c r="AC17"/>
  <c r="AC14"/>
  <c r="AC15"/>
  <c r="AC16"/>
  <c r="Z18"/>
  <c r="Z14"/>
  <c r="Z16"/>
  <c r="Z17"/>
  <c r="AA18"/>
  <c r="AA14"/>
  <c r="AA15"/>
  <c r="AA17"/>
  <c r="AB18"/>
  <c r="AB14"/>
  <c r="AB15"/>
  <c r="AB16"/>
  <c r="X33"/>
  <c r="AA33" s="1"/>
  <c r="X36"/>
  <c r="X35"/>
  <c r="AA35" s="1"/>
  <c r="X32"/>
  <c r="U27" i="3"/>
  <c r="T27"/>
  <c r="S27"/>
  <c r="R27"/>
  <c r="Q27"/>
  <c r="P27"/>
  <c r="O27"/>
  <c r="N27"/>
  <c r="M27"/>
  <c r="L27"/>
  <c r="K27"/>
  <c r="J27"/>
  <c r="I27"/>
  <c r="H27"/>
  <c r="S26"/>
  <c r="R26"/>
  <c r="Q26"/>
  <c r="P26"/>
  <c r="O26"/>
  <c r="N26"/>
  <c r="M26"/>
  <c r="L26"/>
  <c r="K26"/>
  <c r="J26"/>
  <c r="I26"/>
  <c r="H26"/>
  <c r="Q25"/>
  <c r="P25"/>
  <c r="O25"/>
  <c r="N25"/>
  <c r="M25"/>
  <c r="L25"/>
  <c r="K25"/>
  <c r="J25"/>
  <c r="I25"/>
  <c r="H25"/>
  <c r="O24"/>
  <c r="N24"/>
  <c r="M24"/>
  <c r="L24"/>
  <c r="K24"/>
  <c r="J24"/>
  <c r="I24"/>
  <c r="H24"/>
  <c r="M23"/>
  <c r="L23"/>
  <c r="K23"/>
  <c r="J23"/>
  <c r="I23"/>
  <c r="H23"/>
  <c r="K22"/>
  <c r="J22"/>
  <c r="I22"/>
  <c r="I21"/>
  <c r="H21"/>
  <c r="Y21" s="1"/>
  <c r="Z20"/>
  <c r="Y20"/>
  <c r="X20"/>
  <c r="U14"/>
  <c r="T14"/>
  <c r="S14"/>
  <c r="R14"/>
  <c r="Q14"/>
  <c r="P14"/>
  <c r="O14"/>
  <c r="N14"/>
  <c r="M14"/>
  <c r="L14"/>
  <c r="K14"/>
  <c r="J14"/>
  <c r="I14"/>
  <c r="H14"/>
  <c r="S13"/>
  <c r="R13"/>
  <c r="Q13"/>
  <c r="P13"/>
  <c r="O13"/>
  <c r="N13"/>
  <c r="M13"/>
  <c r="L13"/>
  <c r="K13"/>
  <c r="J13"/>
  <c r="I13"/>
  <c r="H13"/>
  <c r="Q12"/>
  <c r="P12"/>
  <c r="O12"/>
  <c r="N12"/>
  <c r="M12"/>
  <c r="L12"/>
  <c r="K12"/>
  <c r="J12"/>
  <c r="I12"/>
  <c r="H12"/>
  <c r="O11"/>
  <c r="N11"/>
  <c r="M11"/>
  <c r="L11"/>
  <c r="K11"/>
  <c r="J11"/>
  <c r="I11"/>
  <c r="H11"/>
  <c r="M10"/>
  <c r="L10"/>
  <c r="K10"/>
  <c r="J10"/>
  <c r="I10"/>
  <c r="H10"/>
  <c r="K9"/>
  <c r="J9"/>
  <c r="I9"/>
  <c r="I8"/>
  <c r="H8"/>
  <c r="Y8" s="1"/>
  <c r="Z7"/>
  <c r="Y7"/>
  <c r="X7"/>
  <c r="AC35" i="2" l="1"/>
  <c r="Y36"/>
  <c r="Y35"/>
  <c r="Y33"/>
  <c r="Y34"/>
  <c r="AC32"/>
  <c r="AC33"/>
  <c r="AC34"/>
  <c r="AA32"/>
  <c r="AB36"/>
  <c r="AB32"/>
  <c r="AB33"/>
  <c r="AB34"/>
  <c r="Z36"/>
  <c r="Z32"/>
  <c r="Z34"/>
  <c r="Z35"/>
  <c r="AA36"/>
  <c r="Z24" i="3"/>
  <c r="Z22"/>
  <c r="AA19" i="2"/>
  <c r="AB19"/>
  <c r="Z19"/>
  <c r="AC19"/>
  <c r="Z26" i="3"/>
  <c r="Z12"/>
  <c r="Y24"/>
  <c r="Y10"/>
  <c r="X11"/>
  <c r="Z9"/>
  <c r="Y25"/>
  <c r="Y27"/>
  <c r="Z27"/>
  <c r="Z11"/>
  <c r="Z13"/>
  <c r="Y11"/>
  <c r="Y14"/>
  <c r="Y23"/>
  <c r="X24"/>
  <c r="Z25"/>
  <c r="X27"/>
  <c r="Y12"/>
  <c r="X13"/>
  <c r="Z14"/>
  <c r="Z23"/>
  <c r="Y26"/>
  <c r="X26"/>
  <c r="Z8"/>
  <c r="X8"/>
  <c r="Z21"/>
  <c r="X21"/>
  <c r="X12"/>
  <c r="Y13"/>
  <c r="X25"/>
  <c r="Z10"/>
  <c r="Y9"/>
  <c r="X9"/>
  <c r="X10"/>
  <c r="X14"/>
  <c r="Y22"/>
  <c r="X22"/>
  <c r="X23"/>
  <c r="G6" i="2"/>
  <c r="R6" s="1"/>
  <c r="F6"/>
  <c r="Z37" l="1"/>
  <c r="Q6"/>
  <c r="P6"/>
  <c r="AF27" i="3"/>
  <c r="AF14"/>
  <c r="AF11"/>
  <c r="AF23"/>
  <c r="AF21"/>
  <c r="AF22"/>
  <c r="AF25"/>
  <c r="AF26"/>
  <c r="AF24"/>
  <c r="AF20"/>
  <c r="AF13"/>
  <c r="AF8"/>
  <c r="AF10"/>
  <c r="AF7"/>
  <c r="AF9"/>
  <c r="AF12"/>
  <c r="AJ21" l="1"/>
  <c r="AJ26"/>
  <c r="AJ22"/>
  <c r="AJ27"/>
  <c r="AJ24"/>
  <c r="AJ20"/>
  <c r="AJ25"/>
  <c r="AL23"/>
  <c r="AL20"/>
  <c r="AL24"/>
  <c r="AL21"/>
  <c r="AL26"/>
  <c r="AL22"/>
  <c r="AL27"/>
  <c r="AG25"/>
  <c r="AG22"/>
  <c r="AG26"/>
  <c r="AG23"/>
  <c r="AG27"/>
  <c r="AG24"/>
  <c r="AG21"/>
  <c r="AI23"/>
  <c r="AI27"/>
  <c r="AI24"/>
  <c r="AI20"/>
  <c r="AI25"/>
  <c r="AI21"/>
  <c r="AI26"/>
  <c r="AK25"/>
  <c r="AK21"/>
  <c r="AK26"/>
  <c r="AK22"/>
  <c r="AK27"/>
  <c r="AK23"/>
  <c r="AK20"/>
  <c r="AH24"/>
  <c r="AH20"/>
  <c r="AH25"/>
  <c r="AH22"/>
  <c r="AH26"/>
  <c r="AH23"/>
  <c r="AH27"/>
  <c r="AN21"/>
  <c r="AN25"/>
  <c r="AN22"/>
  <c r="AN26"/>
  <c r="AN23"/>
  <c r="AN20"/>
  <c r="AN24"/>
  <c r="AM22"/>
  <c r="AM27"/>
  <c r="AM23"/>
  <c r="AM20"/>
  <c r="AM24"/>
  <c r="AM21"/>
  <c r="AM25"/>
  <c r="AJ8"/>
  <c r="AJ13"/>
  <c r="AJ9"/>
  <c r="AJ14"/>
  <c r="AJ11"/>
  <c r="AJ7"/>
  <c r="AJ12"/>
  <c r="AL10"/>
  <c r="AL7"/>
  <c r="AL11"/>
  <c r="AL8"/>
  <c r="AL13"/>
  <c r="AL9"/>
  <c r="AL14"/>
  <c r="AH11"/>
  <c r="AH7"/>
  <c r="AH12"/>
  <c r="AH9"/>
  <c r="AH13"/>
  <c r="AH10"/>
  <c r="AH14"/>
  <c r="AI10"/>
  <c r="AI14"/>
  <c r="AI11"/>
  <c r="AI7"/>
  <c r="AI12"/>
  <c r="AI8"/>
  <c r="AI13"/>
  <c r="AM9"/>
  <c r="AM14"/>
  <c r="AM10"/>
  <c r="AM7"/>
  <c r="AM11"/>
  <c r="AM8"/>
  <c r="AM12"/>
  <c r="AK12"/>
  <c r="AK8"/>
  <c r="AK13"/>
  <c r="AK9"/>
  <c r="AK14"/>
  <c r="AK10"/>
  <c r="AK7"/>
  <c r="AG12"/>
  <c r="AG9"/>
  <c r="AG13"/>
  <c r="AG10"/>
  <c r="AG14"/>
  <c r="AG11"/>
  <c r="AG8"/>
  <c r="AN8"/>
  <c r="AN12"/>
  <c r="AN9"/>
  <c r="AN13"/>
  <c r="AN10"/>
  <c r="AN7"/>
  <c r="AN11"/>
  <c r="X8" i="2"/>
  <c r="X7"/>
  <c r="X6"/>
  <c r="X5"/>
  <c r="X9"/>
  <c r="AC6" l="1"/>
  <c r="AC7"/>
  <c r="AC8"/>
  <c r="AC5"/>
  <c r="AA9"/>
  <c r="AA5"/>
  <c r="AA6"/>
  <c r="AA8"/>
  <c r="AB9"/>
  <c r="AB5"/>
  <c r="AB6"/>
  <c r="AB7"/>
  <c r="Y9"/>
  <c r="Y6"/>
  <c r="Y7"/>
  <c r="Y8"/>
  <c r="Z9"/>
  <c r="Z5"/>
  <c r="Z7"/>
  <c r="Z8"/>
  <c r="AI28" i="3"/>
  <c r="AK28"/>
  <c r="AJ28"/>
  <c r="AM28"/>
  <c r="AL28"/>
  <c r="AG28"/>
  <c r="AH28"/>
  <c r="AN28"/>
  <c r="AL15"/>
  <c r="AM15"/>
  <c r="AG15"/>
  <c r="AI15"/>
  <c r="AK15"/>
  <c r="AJ15"/>
  <c r="AH15"/>
  <c r="AN15"/>
  <c r="AC37" i="2" l="1"/>
  <c r="AA37"/>
  <c r="AB37"/>
  <c r="Y37"/>
  <c r="Z28"/>
  <c r="AA28"/>
  <c r="AB28"/>
  <c r="AC28"/>
  <c r="Y19"/>
  <c r="Y28"/>
  <c r="AB10"/>
  <c r="Y10"/>
  <c r="AA10"/>
  <c r="Z10"/>
  <c r="AQ21" i="3"/>
  <c r="AB21" s="1"/>
  <c r="AQ22"/>
  <c r="AB22" s="1"/>
  <c r="AQ23"/>
  <c r="AB23" s="1"/>
  <c r="AQ20"/>
  <c r="AB20" s="1"/>
  <c r="AQ24"/>
  <c r="AB24" s="1"/>
  <c r="AQ25"/>
  <c r="AB25" s="1"/>
  <c r="AQ27"/>
  <c r="AB27" s="1"/>
  <c r="AQ26"/>
  <c r="AB26" s="1"/>
  <c r="AQ14"/>
  <c r="AB14" s="1"/>
  <c r="AQ10"/>
  <c r="AB10" s="1"/>
  <c r="AQ13"/>
  <c r="AB13" s="1"/>
  <c r="AQ9"/>
  <c r="AB9" s="1"/>
  <c r="AQ12"/>
  <c r="AB12" s="1"/>
  <c r="AQ8"/>
  <c r="AB8" s="1"/>
  <c r="AQ11"/>
  <c r="AB11" s="1"/>
  <c r="AQ7"/>
  <c r="AB7" s="1"/>
  <c r="D13" i="6" l="1"/>
  <c r="I13" s="1"/>
  <c r="D11"/>
  <c r="I11" s="1"/>
  <c r="D10"/>
  <c r="I10" s="1"/>
  <c r="D9"/>
  <c r="I9" s="1"/>
  <c r="D12"/>
  <c r="I12" s="1"/>
  <c r="D8"/>
  <c r="I8" s="1"/>
  <c r="D19"/>
  <c r="D16"/>
  <c r="D20"/>
  <c r="D17"/>
  <c r="D21"/>
  <c r="AE32" i="2"/>
  <c r="T32" s="1"/>
  <c r="AE36"/>
  <c r="T36" s="1"/>
  <c r="AE33"/>
  <c r="T33" s="1"/>
  <c r="AE35"/>
  <c r="T35" s="1"/>
  <c r="AE34"/>
  <c r="T34" s="1"/>
  <c r="AE25"/>
  <c r="T25" s="1"/>
  <c r="AE26"/>
  <c r="T26" s="1"/>
  <c r="AE24"/>
  <c r="T24" s="1"/>
  <c r="AE23"/>
  <c r="T23" s="1"/>
  <c r="AE27"/>
  <c r="T27" s="1"/>
  <c r="AE16"/>
  <c r="T16" s="1"/>
  <c r="AE15"/>
  <c r="T15" s="1"/>
  <c r="AE18"/>
  <c r="T18" s="1"/>
  <c r="AE14"/>
  <c r="T14" s="1"/>
  <c r="J44" i="3" s="1"/>
  <c r="W45" s="1"/>
  <c r="AE17" i="2"/>
  <c r="T17" s="1"/>
  <c r="P44" i="3" l="1"/>
  <c r="P41"/>
  <c r="AI65" i="7"/>
  <c r="I24" i="6" s="1"/>
  <c r="AI67" i="7"/>
  <c r="I26" i="6" s="1"/>
  <c r="AI66" i="7"/>
  <c r="I25" i="6" s="1"/>
  <c r="D25"/>
  <c r="D24"/>
  <c r="D26"/>
  <c r="G25" i="3"/>
  <c r="G12"/>
  <c r="G21"/>
  <c r="G8"/>
  <c r="G26"/>
  <c r="G22"/>
  <c r="G13"/>
  <c r="G9"/>
  <c r="G27"/>
  <c r="G14"/>
  <c r="G23"/>
  <c r="G10"/>
  <c r="B38" i="7" l="1"/>
  <c r="E10" i="5"/>
  <c r="E8"/>
  <c r="B28" i="7"/>
  <c r="Q10" i="5"/>
  <c r="B33" i="7"/>
  <c r="I7" i="5"/>
  <c r="I29" s="1"/>
  <c r="B18" i="7"/>
  <c r="AQ6" s="1"/>
  <c r="I9" i="5"/>
  <c r="I25" s="1"/>
  <c r="AQ12" i="7"/>
  <c r="D57"/>
  <c r="AQ9"/>
  <c r="E26"/>
  <c r="AK12"/>
  <c r="E36"/>
  <c r="U7" i="5"/>
  <c r="U23" s="1"/>
  <c r="B8" i="7"/>
  <c r="U9" i="5"/>
  <c r="U17" s="1"/>
  <c r="B13" i="7"/>
  <c r="AK6" s="1"/>
  <c r="Q8" i="5"/>
  <c r="Q18" s="1"/>
  <c r="D18" i="6"/>
  <c r="E13" i="5"/>
  <c r="D7" i="6"/>
  <c r="I7" s="1"/>
  <c r="E30" i="5"/>
  <c r="I23"/>
  <c r="U27"/>
  <c r="I40"/>
  <c r="I15"/>
  <c r="I17"/>
  <c r="I13"/>
  <c r="I39"/>
  <c r="E35"/>
  <c r="I19"/>
  <c r="I35"/>
  <c r="I27"/>
  <c r="E15"/>
  <c r="E20"/>
  <c r="I33"/>
  <c r="E25"/>
  <c r="I38"/>
  <c r="AC10" i="2"/>
  <c r="AE6" s="1"/>
  <c r="T6" s="1"/>
  <c r="AQ3" i="7" l="1"/>
  <c r="D42"/>
  <c r="AK18"/>
  <c r="H31"/>
  <c r="AQ18"/>
  <c r="G50"/>
  <c r="G55"/>
  <c r="AQ24"/>
  <c r="U19" i="5"/>
  <c r="U29"/>
  <c r="U35"/>
  <c r="U15"/>
  <c r="U40"/>
  <c r="Q30"/>
  <c r="U39"/>
  <c r="Q35"/>
  <c r="U25"/>
  <c r="U13"/>
  <c r="Q13"/>
  <c r="Q23"/>
  <c r="Q28"/>
  <c r="Q33"/>
  <c r="U37"/>
  <c r="E28"/>
  <c r="E18"/>
  <c r="E33"/>
  <c r="I37"/>
  <c r="E23"/>
  <c r="U33"/>
  <c r="U38"/>
  <c r="Q15"/>
  <c r="Q20"/>
  <c r="Q25"/>
  <c r="AE8" i="2"/>
  <c r="T8" s="1"/>
  <c r="AE5"/>
  <c r="T5" s="1"/>
  <c r="J41" i="3" s="1"/>
  <c r="W42" s="1"/>
  <c r="AE9" i="2"/>
  <c r="T9" s="1"/>
  <c r="AE7"/>
  <c r="T7" s="1"/>
  <c r="AI64" i="7" l="1"/>
  <c r="I23" i="6" s="1"/>
  <c r="AQ30" i="7"/>
  <c r="AQ48"/>
  <c r="AI60" s="1"/>
  <c r="I19" i="6" s="1"/>
  <c r="AQ33" i="7"/>
  <c r="K21"/>
  <c r="AK30"/>
  <c r="J53"/>
  <c r="AQ36" s="1"/>
  <c r="AK21"/>
  <c r="G45"/>
  <c r="G7" i="3"/>
  <c r="D23" i="6"/>
  <c r="G11" i="3"/>
  <c r="G24"/>
  <c r="G20"/>
  <c r="U8" i="5"/>
  <c r="Q9"/>
  <c r="E9"/>
  <c r="I8"/>
  <c r="B23" i="7" l="1"/>
  <c r="I10" i="5"/>
  <c r="B3" i="7"/>
  <c r="AD10" i="5"/>
  <c r="AQ27" i="7"/>
  <c r="AK48"/>
  <c r="AI61" s="1"/>
  <c r="I20" i="6" s="1"/>
  <c r="AK45" i="7"/>
  <c r="T31"/>
  <c r="AI56" s="1"/>
  <c r="I15" i="6" s="1"/>
  <c r="E6" i="7"/>
  <c r="AK3"/>
  <c r="AK9"/>
  <c r="D52"/>
  <c r="AK42"/>
  <c r="AE13" i="5"/>
  <c r="D14" i="6"/>
  <c r="I14" s="1"/>
  <c r="E7" i="5"/>
  <c r="E12" s="1"/>
  <c r="Q7"/>
  <c r="Q32" s="1"/>
  <c r="D15" i="6"/>
  <c r="U10" i="5"/>
  <c r="Q39" s="1"/>
  <c r="D22" i="6"/>
  <c r="I14" i="5"/>
  <c r="I22"/>
  <c r="E39"/>
  <c r="I18"/>
  <c r="E29"/>
  <c r="E34"/>
  <c r="I30"/>
  <c r="I24"/>
  <c r="I20"/>
  <c r="I12"/>
  <c r="I34"/>
  <c r="E40"/>
  <c r="E24"/>
  <c r="E38"/>
  <c r="E19"/>
  <c r="E14"/>
  <c r="I28"/>
  <c r="I32"/>
  <c r="Q19"/>
  <c r="U28"/>
  <c r="Q14"/>
  <c r="Q24"/>
  <c r="Q38"/>
  <c r="U32"/>
  <c r="U12"/>
  <c r="U20"/>
  <c r="U24"/>
  <c r="U34"/>
  <c r="Q40"/>
  <c r="U30"/>
  <c r="AK24" i="7" l="1"/>
  <c r="AQ51"/>
  <c r="AI62" s="1"/>
  <c r="I21" i="6" s="1"/>
  <c r="AK15" i="7"/>
  <c r="H11"/>
  <c r="Q12" i="5"/>
  <c r="Q22"/>
  <c r="Q37"/>
  <c r="Q27"/>
  <c r="Q17"/>
  <c r="Q34"/>
  <c r="U14"/>
  <c r="Q29"/>
  <c r="U18"/>
  <c r="U22"/>
  <c r="E37"/>
  <c r="E17"/>
  <c r="E22"/>
  <c r="E32"/>
  <c r="E27"/>
  <c r="E16" i="7"/>
  <c r="AQ15" s="1"/>
  <c r="D47"/>
  <c r="AK33" l="1"/>
  <c r="N41"/>
  <c r="AQ21"/>
  <c r="AK51"/>
  <c r="AI63" s="1"/>
  <c r="I22" i="6" s="1"/>
  <c r="G40" i="7"/>
  <c r="AK39" l="1"/>
  <c r="Q45"/>
  <c r="AK27"/>
  <c r="J43"/>
  <c r="AI59" s="1"/>
  <c r="I18" i="6" s="1"/>
  <c r="AQ42" i="7" l="1"/>
  <c r="AQ45"/>
  <c r="AI57"/>
  <c r="I16" i="6" s="1"/>
  <c r="AK36" i="7"/>
  <c r="N48"/>
  <c r="AQ39" l="1"/>
  <c r="AI58"/>
  <c r="I17" i="6" s="1"/>
</calcChain>
</file>

<file path=xl/sharedStrings.xml><?xml version="1.0" encoding="utf-8"?>
<sst xmlns="http://schemas.openxmlformats.org/spreadsheetml/2006/main" count="451" uniqueCount="273">
  <si>
    <t>№</t>
  </si>
  <si>
    <t>Участник</t>
  </si>
  <si>
    <t>Очки</t>
  </si>
  <si>
    <t>Мужчины</t>
  </si>
  <si>
    <t>Женщины</t>
  </si>
  <si>
    <t>Участники</t>
  </si>
  <si>
    <t>Команда</t>
  </si>
  <si>
    <t>В</t>
  </si>
  <si>
    <t>М</t>
  </si>
  <si>
    <t>Ш</t>
  </si>
  <si>
    <t>Команды</t>
  </si>
  <si>
    <t>Финал</t>
  </si>
  <si>
    <t>ГРУППА А</t>
  </si>
  <si>
    <t>ГРУППА Б</t>
  </si>
  <si>
    <t>1А</t>
  </si>
  <si>
    <t>1Б</t>
  </si>
  <si>
    <t>2А</t>
  </si>
  <si>
    <t>2Б</t>
  </si>
  <si>
    <t>3А</t>
  </si>
  <si>
    <t>3Б</t>
  </si>
  <si>
    <t>4А</t>
  </si>
  <si>
    <t>4Б</t>
  </si>
  <si>
    <t>1 тур</t>
  </si>
  <si>
    <t>1-8</t>
  </si>
  <si>
    <t>2-7</t>
  </si>
  <si>
    <t>3-6</t>
  </si>
  <si>
    <t>4-5</t>
  </si>
  <si>
    <t>2 тур</t>
  </si>
  <si>
    <t>1-7</t>
  </si>
  <si>
    <t>2-6</t>
  </si>
  <si>
    <t>3-5</t>
  </si>
  <si>
    <t>4-8</t>
  </si>
  <si>
    <t>3 тур</t>
  </si>
  <si>
    <t>1-6</t>
  </si>
  <si>
    <t>2-5</t>
  </si>
  <si>
    <t>3-8</t>
  </si>
  <si>
    <t>4-7</t>
  </si>
  <si>
    <t>4 тур</t>
  </si>
  <si>
    <t>1-5</t>
  </si>
  <si>
    <t>2-8</t>
  </si>
  <si>
    <t>3-7</t>
  </si>
  <si>
    <t>4-6</t>
  </si>
  <si>
    <t>5 тур</t>
  </si>
  <si>
    <t>1-4</t>
  </si>
  <si>
    <t>2-3</t>
  </si>
  <si>
    <t>5-8</t>
  </si>
  <si>
    <t>6-7</t>
  </si>
  <si>
    <t>6 тур</t>
  </si>
  <si>
    <t>1-3</t>
  </si>
  <si>
    <t>2-4</t>
  </si>
  <si>
    <t>5-7</t>
  </si>
  <si>
    <t>6-8</t>
  </si>
  <si>
    <t>7 тур</t>
  </si>
  <si>
    <t>1-2</t>
  </si>
  <si>
    <t>3-4</t>
  </si>
  <si>
    <t>5-6</t>
  </si>
  <si>
    <t>7-8</t>
  </si>
  <si>
    <t>ГРУППА В</t>
  </si>
  <si>
    <t>ГРУППА Г</t>
  </si>
  <si>
    <t>ДП</t>
  </si>
  <si>
    <t>1В</t>
  </si>
  <si>
    <t>1Г</t>
  </si>
  <si>
    <t>2В</t>
  </si>
  <si>
    <t>2Г</t>
  </si>
  <si>
    <t>4В</t>
  </si>
  <si>
    <t>3В</t>
  </si>
  <si>
    <t>3Г</t>
  </si>
  <si>
    <t>4Г</t>
  </si>
  <si>
    <t>Правила определения мест:</t>
  </si>
  <si>
    <t>1. По очкам</t>
  </si>
  <si>
    <t>2. По личным встречам</t>
  </si>
  <si>
    <t>5. Пенальти</t>
  </si>
  <si>
    <t>3. Если 3 и более команд имеет одинаковое количество очков, смотрятся игры между ними. У кого больше очков в личных встречах тот выше.</t>
  </si>
  <si>
    <t>4. По разнице шаров в играх между командами претендентами.</t>
  </si>
  <si>
    <t>Попов Михаил</t>
  </si>
  <si>
    <t>Дуплякин Юрий</t>
  </si>
  <si>
    <t>Андреев Андрей</t>
  </si>
  <si>
    <t>Марин Петр</t>
  </si>
  <si>
    <t>Попов Дмитрий</t>
  </si>
  <si>
    <t>Янкин Николай</t>
  </si>
  <si>
    <t>Пузанов Андрей</t>
  </si>
  <si>
    <t>Попов Иван</t>
  </si>
  <si>
    <t>Стыкалин Владимир</t>
  </si>
  <si>
    <t>Фахретдинов Фоат</t>
  </si>
  <si>
    <t>Саморуков Юрий</t>
  </si>
  <si>
    <t>Ерасов Сергей</t>
  </si>
  <si>
    <t>Бехтин Сергей</t>
  </si>
  <si>
    <t>Кораблев Иван</t>
  </si>
  <si>
    <t>Прозоров Георгий</t>
  </si>
  <si>
    <t>Гусев Константин</t>
  </si>
  <si>
    <t>Коняхин Сергей</t>
  </si>
  <si>
    <t>Домарев Андрей</t>
  </si>
  <si>
    <t>Бурдо Сергей</t>
  </si>
  <si>
    <t>Маслов Андрей</t>
  </si>
  <si>
    <t>Кузнецов Владимир</t>
  </si>
  <si>
    <t>Кораблев Сергей</t>
  </si>
  <si>
    <t>Журавлев Сергей</t>
  </si>
  <si>
    <t>Беликов Алексей</t>
  </si>
  <si>
    <t>Зубарев Алексей</t>
  </si>
  <si>
    <t>Осокин Виталий</t>
  </si>
  <si>
    <t>Тимофеев Павел</t>
  </si>
  <si>
    <t>Югай Олег</t>
  </si>
  <si>
    <t>Яшин Алексей</t>
  </si>
  <si>
    <t>Филимонов Кирилл</t>
  </si>
  <si>
    <t>Игнатов Сергей</t>
  </si>
  <si>
    <t>Ильин Иван</t>
  </si>
  <si>
    <t>Фаруджа Давиде</t>
  </si>
  <si>
    <t>Кривоногов Александр</t>
  </si>
  <si>
    <t>Ширяев Александр</t>
  </si>
  <si>
    <t>Минькин павел</t>
  </si>
  <si>
    <t>Luca Grandi</t>
  </si>
  <si>
    <t>Борисов Александр</t>
  </si>
  <si>
    <t>Попов Алексей</t>
  </si>
  <si>
    <t>Шахбазян Рубен</t>
  </si>
  <si>
    <t>Романов Арсений</t>
  </si>
  <si>
    <t>Зернов Константин</t>
  </si>
  <si>
    <t>Колесников Александр</t>
  </si>
  <si>
    <t>Козис Евгений</t>
  </si>
  <si>
    <t>Гребенщиков Дмитрий</t>
  </si>
  <si>
    <t>Спичков Владимир</t>
  </si>
  <si>
    <t>Яковлев Николай</t>
  </si>
  <si>
    <t>Чекулаев Михаил</t>
  </si>
  <si>
    <t>Гаврилов Владимир</t>
  </si>
  <si>
    <t>Румянцев Геннадий</t>
  </si>
  <si>
    <t>Игонин Иван</t>
  </si>
  <si>
    <t>Шпиленок Лидия</t>
  </si>
  <si>
    <t>Крицкая Марина</t>
  </si>
  <si>
    <t>Фокина Алла</t>
  </si>
  <si>
    <t>Ерасова Екатерина</t>
  </si>
  <si>
    <t>Родина Мария</t>
  </si>
  <si>
    <t>Дуплякина Анна</t>
  </si>
  <si>
    <t>Лукина Ирина</t>
  </si>
  <si>
    <t>Гайсина Диляра</t>
  </si>
  <si>
    <t>Ширяева Варвара</t>
  </si>
  <si>
    <t>Гатайло Светлана</t>
  </si>
  <si>
    <t>Калиниченко Елена</t>
  </si>
  <si>
    <t>Ширяева Елена</t>
  </si>
  <si>
    <t>Пузанова Наталья</t>
  </si>
  <si>
    <t>Соловьева Дарья</t>
  </si>
  <si>
    <t>Шабанова Светлана</t>
  </si>
  <si>
    <t>Шарова Анна</t>
  </si>
  <si>
    <t>Преснякова Елена</t>
  </si>
  <si>
    <t>Гордеева Анастасия</t>
  </si>
  <si>
    <t>Шафенкова Юлия</t>
  </si>
  <si>
    <t>Сизова Дарья</t>
  </si>
  <si>
    <t>Зорина Дарья</t>
  </si>
  <si>
    <t>Марьина Вита</t>
  </si>
  <si>
    <t>Романова (Аронова) Светлана</t>
  </si>
  <si>
    <t>Лебедева Елена</t>
  </si>
  <si>
    <t>Рочева Ирина</t>
  </si>
  <si>
    <t>Торяник Лариса</t>
  </si>
  <si>
    <t>Фахретдинова Джамиля</t>
  </si>
  <si>
    <t>Алиева Айя</t>
  </si>
  <si>
    <t>Шпиленок Юлия</t>
  </si>
  <si>
    <t>Напольнова Светлана</t>
  </si>
  <si>
    <t>Алексеева Елена</t>
  </si>
  <si>
    <t>Кузина Ульяна</t>
  </si>
  <si>
    <t>Комкова Елена</t>
  </si>
  <si>
    <t>Аболмасова Настасья</t>
  </si>
  <si>
    <t>Фильченкова Ольга</t>
  </si>
  <si>
    <t>Боловинцева Екатерина</t>
  </si>
  <si>
    <t>Шахбазян Нуард</t>
  </si>
  <si>
    <t>Берсенева Елизавета</t>
  </si>
  <si>
    <t>Добрушина Александра</t>
  </si>
  <si>
    <t>Борисова Лилия</t>
  </si>
  <si>
    <t>Калегина Наталья</t>
  </si>
  <si>
    <t>Напольнова Татьяна</t>
  </si>
  <si>
    <t>Семенова Мария</t>
  </si>
  <si>
    <t>Кудимова Ирина</t>
  </si>
  <si>
    <t>Ерасова (Смирнова, Мурзакаева) Екатерина</t>
  </si>
  <si>
    <t>Лукин Сергей</t>
  </si>
  <si>
    <t>Еремеев Евгений</t>
  </si>
  <si>
    <t>Коднев Даниил</t>
  </si>
  <si>
    <t>Князева Елена</t>
  </si>
  <si>
    <t>Лапина Елена</t>
  </si>
  <si>
    <t>Симутина Владислава</t>
  </si>
  <si>
    <t>Смирнова Кристина</t>
  </si>
  <si>
    <t>Арыченкова Надежда</t>
  </si>
  <si>
    <t>Гороховская Ирина</t>
  </si>
  <si>
    <t>Коднева Наталья</t>
  </si>
  <si>
    <t>Ли Александр</t>
  </si>
  <si>
    <t>Лютиков Александр</t>
  </si>
  <si>
    <t>Егорова Мария</t>
  </si>
  <si>
    <t>Егорова Злата</t>
  </si>
  <si>
    <t>Симутина Елена</t>
  </si>
  <si>
    <t>Для  4 участников:</t>
  </si>
  <si>
    <t>1 тур: 1-4, 2-3</t>
  </si>
  <si>
    <t>2 тур: 1-3, 2-4</t>
  </si>
  <si>
    <t>3 тур: 1-2, 3-4</t>
  </si>
  <si>
    <t>Попов Михаил / Фокина Алла</t>
  </si>
  <si>
    <t>Дуплякин Юрий / Дуплякина Анна</t>
  </si>
  <si>
    <t>Попов Дмитрий / Ерасова Екатерина</t>
  </si>
  <si>
    <t>Бурдо Сергей / Шпиленок Лидия</t>
  </si>
  <si>
    <t>Попов Иван / Гатайло Светлана</t>
  </si>
  <si>
    <t>Стыкалин Владимир / Шабанова Светлана</t>
  </si>
  <si>
    <t>Домарев Андрей / Сизова Дарья</t>
  </si>
  <si>
    <t>Саморуков Юрий / Преснякова Елена</t>
  </si>
  <si>
    <t>Фахретдинов Фоат / Фахретдинова Джамиля*</t>
  </si>
  <si>
    <t>Ли Александр / Ширяева Елена</t>
  </si>
  <si>
    <t>Беликов Алексей / Егорова Мария</t>
  </si>
  <si>
    <t>Журавлев Сергей / Симутина Елена</t>
  </si>
  <si>
    <t>Еремеев Евгений / Алексеева Елена</t>
  </si>
  <si>
    <t>Галанов Михаил / Егорова Злата</t>
  </si>
  <si>
    <t>Лукин Сергей / Князева Елена</t>
  </si>
  <si>
    <t>Чекулаев Михаил / Берсенева Елизавета</t>
  </si>
  <si>
    <t>Андреев Андрей / Ширяева Варвара</t>
  </si>
  <si>
    <t>А3</t>
  </si>
  <si>
    <t>Г4</t>
  </si>
  <si>
    <t>Б4</t>
  </si>
  <si>
    <t>В3</t>
  </si>
  <si>
    <t>А4</t>
  </si>
  <si>
    <t>Г3</t>
  </si>
  <si>
    <t>Б3</t>
  </si>
  <si>
    <t>В4</t>
  </si>
  <si>
    <t>9-10 МЕСТО</t>
  </si>
  <si>
    <t>11 МЕСТО</t>
  </si>
  <si>
    <t>12</t>
  </si>
  <si>
    <t>13-14</t>
  </si>
  <si>
    <t>15-16</t>
  </si>
  <si>
    <t>10</t>
  </si>
  <si>
    <t>11</t>
  </si>
  <si>
    <t>12 МЕСТО</t>
  </si>
  <si>
    <t>13-14 МЕСТО</t>
  </si>
  <si>
    <t>15-16 МЕСТО</t>
  </si>
  <si>
    <t>9</t>
  </si>
  <si>
    <t>13</t>
  </si>
  <si>
    <t>14</t>
  </si>
  <si>
    <t>15</t>
  </si>
  <si>
    <t>16</t>
  </si>
  <si>
    <t>17</t>
  </si>
  <si>
    <t>18</t>
  </si>
  <si>
    <t>20</t>
  </si>
  <si>
    <t>19</t>
  </si>
  <si>
    <t>О Л И М П И Й К А</t>
  </si>
  <si>
    <t>Г Р У П П Ы</t>
  </si>
  <si>
    <t>Карпов Илья / Егорова Анна</t>
  </si>
  <si>
    <t>2</t>
  </si>
  <si>
    <t>3</t>
  </si>
  <si>
    <t>6</t>
  </si>
  <si>
    <t>7</t>
  </si>
  <si>
    <t>4</t>
  </si>
  <si>
    <t>5</t>
  </si>
  <si>
    <t>8</t>
  </si>
  <si>
    <t>1</t>
  </si>
  <si>
    <t>9-16</t>
  </si>
  <si>
    <t>10-15</t>
  </si>
  <si>
    <t>9-14</t>
  </si>
  <si>
    <t>11-14</t>
  </si>
  <si>
    <t>12-13</t>
  </si>
  <si>
    <t>9-15</t>
  </si>
  <si>
    <t>9-13</t>
  </si>
  <si>
    <t>9-12</t>
  </si>
  <si>
    <t>9-11</t>
  </si>
  <si>
    <t>9-10</t>
  </si>
  <si>
    <t>10-14</t>
  </si>
  <si>
    <t>10-13</t>
  </si>
  <si>
    <t>10-12</t>
  </si>
  <si>
    <t>11-13</t>
  </si>
  <si>
    <t>12-16</t>
  </si>
  <si>
    <t>11-16</t>
  </si>
  <si>
    <t>12-15</t>
  </si>
  <si>
    <t>10-16</t>
  </si>
  <si>
    <t>11-15</t>
  </si>
  <si>
    <t>12-14</t>
  </si>
  <si>
    <t>10-11</t>
  </si>
  <si>
    <t>13-16</t>
  </si>
  <si>
    <t>14-15</t>
  </si>
  <si>
    <t>13-15</t>
  </si>
  <si>
    <t>14-16</t>
  </si>
  <si>
    <t>11-12</t>
  </si>
  <si>
    <t>После групп не смогли играть дальше, но были в 16</t>
  </si>
  <si>
    <t>Были введены в 16 после СИНЕГО квадрата</t>
  </si>
  <si>
    <t>Кубок Алексеева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</si>
</sst>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14"/>
      <color indexed="6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shrinkToFit="1"/>
    </xf>
    <xf numFmtId="0" fontId="1" fillId="3" borderId="6" xfId="0" applyFont="1" applyFill="1" applyBorder="1" applyAlignment="1" applyProtection="1">
      <alignment horizontal="center" vertical="center" shrinkToFit="1"/>
    </xf>
    <xf numFmtId="1" fontId="1" fillId="3" borderId="0" xfId="0" applyNumberFormat="1" applyFont="1" applyFill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 shrinkToFit="1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/>
    <xf numFmtId="49" fontId="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49" fontId="5" fillId="3" borderId="20" xfId="0" applyNumberFormat="1" applyFont="1" applyFill="1" applyBorder="1" applyAlignment="1" applyProtection="1">
      <alignment horizontal="center" vertical="center"/>
    </xf>
    <xf numFmtId="49" fontId="5" fillId="3" borderId="21" xfId="0" applyNumberFormat="1" applyFont="1" applyFill="1" applyBorder="1" applyAlignment="1" applyProtection="1">
      <alignment horizontal="center" vertical="center"/>
    </xf>
    <xf numFmtId="0" fontId="5" fillId="3" borderId="21" xfId="0" applyNumberFormat="1" applyFont="1" applyFill="1" applyBorder="1" applyAlignment="1" applyProtection="1">
      <alignment horizontal="center" vertical="center" shrinkToFit="1"/>
    </xf>
    <xf numFmtId="1" fontId="5" fillId="3" borderId="21" xfId="0" applyNumberFormat="1" applyFont="1" applyFill="1" applyBorder="1" applyAlignment="1" applyProtection="1">
      <alignment horizontal="center" vertical="center" shrinkToFit="1"/>
    </xf>
    <xf numFmtId="49" fontId="5" fillId="3" borderId="22" xfId="0" applyNumberFormat="1" applyFont="1" applyFill="1" applyBorder="1" applyAlignment="1" applyProtection="1">
      <alignment horizontal="center" vertical="center"/>
    </xf>
    <xf numFmtId="49" fontId="5" fillId="3" borderId="23" xfId="0" applyNumberFormat="1" applyFont="1" applyFill="1" applyBorder="1" applyAlignment="1" applyProtection="1">
      <alignment horizontal="center" vertical="center"/>
    </xf>
    <xf numFmtId="49" fontId="5" fillId="3" borderId="24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 shrinkToFit="1"/>
    </xf>
    <xf numFmtId="1" fontId="5" fillId="3" borderId="0" xfId="0" applyNumberFormat="1" applyFont="1" applyFill="1" applyBorder="1" applyAlignment="1" applyProtection="1">
      <alignment horizontal="center" vertical="center" shrinkToFit="1"/>
    </xf>
    <xf numFmtId="49" fontId="5" fillId="3" borderId="26" xfId="0" applyNumberFormat="1" applyFont="1" applyFill="1" applyBorder="1" applyAlignment="1" applyProtection="1">
      <alignment horizontal="center" vertical="center"/>
    </xf>
    <xf numFmtId="49" fontId="5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NumberFormat="1" applyFont="1" applyFill="1" applyBorder="1" applyAlignment="1" applyProtection="1">
      <alignment horizontal="center" vertical="center" shrinkToFit="1"/>
    </xf>
    <xf numFmtId="1" fontId="5" fillId="3" borderId="17" xfId="0" applyNumberFormat="1" applyFont="1" applyFill="1" applyBorder="1" applyAlignment="1" applyProtection="1">
      <alignment horizontal="center" vertical="center" shrinkToFit="1"/>
    </xf>
    <xf numFmtId="49" fontId="5" fillId="3" borderId="27" xfId="0" applyNumberFormat="1" applyFont="1" applyFill="1" applyBorder="1" applyAlignment="1" applyProtection="1">
      <alignment horizontal="center" vertical="center"/>
    </xf>
    <xf numFmtId="49" fontId="4" fillId="3" borderId="20" xfId="0" applyNumberFormat="1" applyFont="1" applyFill="1" applyBorder="1" applyAlignment="1" applyProtection="1">
      <alignment horizontal="center" vertical="center"/>
      <protection hidden="1"/>
    </xf>
    <xf numFmtId="49" fontId="4" fillId="3" borderId="21" xfId="0" applyNumberFormat="1" applyFont="1" applyFill="1" applyBorder="1" applyAlignment="1" applyProtection="1">
      <alignment horizontal="center" vertical="center"/>
      <protection hidden="1"/>
    </xf>
    <xf numFmtId="0" fontId="4" fillId="3" borderId="21" xfId="0" applyNumberFormat="1" applyFont="1" applyFill="1" applyBorder="1" applyAlignment="1" applyProtection="1">
      <alignment horizontal="center" vertical="center" shrinkToFit="1"/>
      <protection hidden="1"/>
    </xf>
    <xf numFmtId="1" fontId="4" fillId="3" borderId="21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23" xfId="0" applyNumberFormat="1" applyFont="1" applyFill="1" applyBorder="1" applyAlignment="1" applyProtection="1">
      <alignment horizontal="center" vertical="center"/>
      <protection hidden="1"/>
    </xf>
    <xf numFmtId="1" fontId="4" fillId="3" borderId="0" xfId="0" applyNumberFormat="1" applyFont="1" applyFill="1" applyBorder="1" applyAlignment="1" applyProtection="1">
      <alignment horizontal="center" vertical="center" shrinkToFit="1"/>
      <protection hidden="1"/>
    </xf>
    <xf numFmtId="1" fontId="5" fillId="3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6" xfId="0" applyNumberFormat="1" applyFont="1" applyFill="1" applyBorder="1" applyAlignment="1" applyProtection="1">
      <alignment horizontal="center" vertical="center"/>
      <protection hidden="1"/>
    </xf>
    <xf numFmtId="49" fontId="4" fillId="3" borderId="17" xfId="0" applyNumberFormat="1" applyFont="1" applyFill="1" applyBorder="1" applyAlignment="1" applyProtection="1">
      <alignment horizontal="center" vertical="center"/>
      <protection hidden="1"/>
    </xf>
    <xf numFmtId="0" fontId="4" fillId="3" borderId="17" xfId="0" applyNumberFormat="1" applyFont="1" applyFill="1" applyBorder="1" applyAlignment="1" applyProtection="1">
      <alignment horizontal="center" vertical="center" shrinkToFit="1"/>
      <protection hidden="1"/>
    </xf>
    <xf numFmtId="1" fontId="4" fillId="3" borderId="17" xfId="0" applyNumberFormat="1" applyFont="1" applyFill="1" applyBorder="1" applyAlignment="1" applyProtection="1">
      <alignment horizontal="center" vertical="center" shrinkToFit="1"/>
      <protection hidden="1"/>
    </xf>
    <xf numFmtId="1" fontId="5" fillId="3" borderId="25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0" borderId="16" xfId="0" applyFont="1" applyBorder="1" applyAlignment="1" applyProtection="1">
      <alignment horizontal="center"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locked="0" hidden="1"/>
    </xf>
    <xf numFmtId="1" fontId="1" fillId="0" borderId="16" xfId="0" applyNumberFormat="1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3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 shrinkToFit="1"/>
    </xf>
    <xf numFmtId="1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shrinkToFit="1"/>
    </xf>
    <xf numFmtId="1" fontId="1" fillId="3" borderId="2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Border="1" applyAlignment="1"/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vertical="center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>
      <alignment vertical="center"/>
    </xf>
    <xf numFmtId="0" fontId="4" fillId="3" borderId="2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vertical="center"/>
    </xf>
    <xf numFmtId="0" fontId="16" fillId="3" borderId="36" xfId="0" applyFont="1" applyFill="1" applyBorder="1" applyAlignment="1" applyProtection="1">
      <alignment vertical="center"/>
    </xf>
    <xf numFmtId="0" fontId="16" fillId="3" borderId="37" xfId="0" applyFont="1" applyFill="1" applyBorder="1" applyAlignment="1" applyProtection="1">
      <alignment vertical="center"/>
    </xf>
    <xf numFmtId="0" fontId="16" fillId="3" borderId="38" xfId="0" applyFont="1" applyFill="1" applyBorder="1" applyAlignment="1" applyProtection="1">
      <alignment vertical="center"/>
    </xf>
    <xf numFmtId="0" fontId="11" fillId="0" borderId="2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 shrinkToFit="1"/>
    </xf>
    <xf numFmtId="0" fontId="2" fillId="0" borderId="22" xfId="0" applyFont="1" applyBorder="1" applyAlignment="1" applyProtection="1">
      <alignment horizontal="center"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Border="1" applyAlignment="1" applyProtection="1">
      <alignment horizontal="center" vertical="center" shrinkToFit="1"/>
      <protection hidden="1"/>
    </xf>
    <xf numFmtId="1" fontId="1" fillId="0" borderId="16" xfId="0" applyNumberFormat="1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wrapText="1" shrinkToFit="1"/>
      <protection hidden="1"/>
    </xf>
    <xf numFmtId="1" fontId="1" fillId="0" borderId="26" xfId="0" applyNumberFormat="1" applyFont="1" applyBorder="1" applyAlignment="1" applyProtection="1">
      <alignment horizontal="center" vertical="center" shrinkToFit="1"/>
      <protection hidden="1"/>
    </xf>
    <xf numFmtId="1" fontId="1" fillId="0" borderId="27" xfId="0" applyNumberFormat="1" applyFont="1" applyBorder="1" applyAlignment="1" applyProtection="1">
      <alignment horizontal="center" vertical="center" shrinkToFit="1"/>
      <protection hidden="1"/>
    </xf>
    <xf numFmtId="0" fontId="1" fillId="0" borderId="26" xfId="0" applyFont="1" applyFill="1" applyBorder="1" applyAlignment="1" applyProtection="1">
      <alignment horizontal="center" vertical="center" shrinkToFit="1"/>
      <protection hidden="1"/>
    </xf>
    <xf numFmtId="0" fontId="1" fillId="0" borderId="27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1" fontId="1" fillId="0" borderId="15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5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Fill="1" applyBorder="1" applyAlignment="1" applyProtection="1">
      <alignment horizontal="center" vertical="center" shrinkToFit="1"/>
      <protection hidden="1"/>
    </xf>
    <xf numFmtId="1" fontId="1" fillId="0" borderId="39" xfId="0" applyNumberFormat="1" applyFont="1" applyBorder="1" applyAlignment="1" applyProtection="1">
      <alignment horizontal="center" vertical="center" shrinkToFit="1"/>
      <protection hidden="1"/>
    </xf>
    <xf numFmtId="1" fontId="1" fillId="0" borderId="43" xfId="0" applyNumberFormat="1" applyFont="1" applyBorder="1" applyAlignment="1" applyProtection="1">
      <alignment horizontal="center" vertical="center" shrinkToFit="1"/>
      <protection hidden="1"/>
    </xf>
    <xf numFmtId="1" fontId="1" fillId="0" borderId="44" xfId="0" applyNumberFormat="1" applyFont="1" applyBorder="1" applyAlignment="1" applyProtection="1">
      <alignment horizontal="center" vertical="center" shrinkToFit="1"/>
      <protection hidden="1"/>
    </xf>
    <xf numFmtId="1" fontId="1" fillId="0" borderId="2" xfId="0" applyNumberFormat="1" applyFont="1" applyBorder="1" applyAlignment="1" applyProtection="1">
      <alignment horizontal="center" vertical="center" shrinkToFit="1"/>
      <protection hidden="1"/>
    </xf>
    <xf numFmtId="1" fontId="1" fillId="0" borderId="4" xfId="0" applyNumberFormat="1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9" fillId="0" borderId="5" xfId="0" applyFont="1" applyBorder="1" applyAlignment="1" applyProtection="1">
      <alignment horizontal="center" vertical="center" wrapText="1"/>
      <protection hidden="1"/>
    </xf>
    <xf numFmtId="1" fontId="18" fillId="0" borderId="13" xfId="0" applyNumberFormat="1" applyFont="1" applyBorder="1" applyAlignment="1" applyProtection="1">
      <alignment horizontal="center" vertical="center" shrinkToFit="1"/>
      <protection hidden="1"/>
    </xf>
    <xf numFmtId="1" fontId="18" fillId="0" borderId="14" xfId="0" applyNumberFormat="1" applyFont="1" applyBorder="1" applyAlignment="1" applyProtection="1">
      <alignment horizontal="center" vertical="center" shrinkToFit="1"/>
      <protection hidden="1"/>
    </xf>
    <xf numFmtId="0" fontId="18" fillId="0" borderId="5" xfId="0" applyFont="1" applyBorder="1" applyAlignment="1" applyProtection="1">
      <alignment horizontal="center" vertical="center" shrinkToFit="1"/>
      <protection hidden="1"/>
    </xf>
    <xf numFmtId="0" fontId="18" fillId="0" borderId="5" xfId="0" applyFont="1" applyBorder="1" applyAlignment="1" applyProtection="1">
      <alignment horizontal="center" vertical="center" shrinkToFit="1"/>
      <protection locked="0"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1" fontId="18" fillId="0" borderId="9" xfId="0" applyNumberFormat="1" applyFont="1" applyBorder="1" applyAlignment="1" applyProtection="1">
      <alignment horizontal="center" vertical="center" shrinkToFit="1"/>
      <protection hidden="1"/>
    </xf>
    <xf numFmtId="1" fontId="18" fillId="0" borderId="10" xfId="0" applyNumberFormat="1" applyFont="1" applyBorder="1" applyAlignment="1" applyProtection="1">
      <alignment horizontal="center" vertical="center" shrinkToFit="1"/>
      <protection hidden="1"/>
    </xf>
    <xf numFmtId="0" fontId="18" fillId="0" borderId="6" xfId="0" applyFont="1" applyBorder="1" applyAlignment="1" applyProtection="1">
      <alignment horizontal="center" vertical="center" shrinkToFi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12" xfId="0" applyFont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 shrinkToFit="1"/>
      <protection hidden="1"/>
    </xf>
    <xf numFmtId="0" fontId="18" fillId="0" borderId="7" xfId="0" applyFont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 shrinkToFit="1"/>
      <protection locked="0"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8" fillId="0" borderId="6" xfId="0" applyNumberFormat="1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49" xfId="0" applyBorder="1"/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47" xfId="0" applyFont="1" applyBorder="1" applyAlignment="1">
      <alignment wrapText="1"/>
    </xf>
    <xf numFmtId="0" fontId="22" fillId="0" borderId="48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49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8" fillId="0" borderId="13" xfId="0" applyFont="1" applyBorder="1" applyAlignment="1" applyProtection="1">
      <alignment horizontal="center" vertical="center" shrinkToFit="1"/>
      <protection hidden="1"/>
    </xf>
    <xf numFmtId="0" fontId="18" fillId="0" borderId="14" xfId="0" applyFont="1" applyBorder="1" applyAlignment="1" applyProtection="1">
      <alignment horizontal="center" vertical="center" shrinkToFit="1"/>
      <protection hidden="1"/>
    </xf>
    <xf numFmtId="0" fontId="23" fillId="3" borderId="0" xfId="0" applyFont="1" applyFill="1" applyProtection="1">
      <protection hidden="1"/>
    </xf>
    <xf numFmtId="49" fontId="24" fillId="3" borderId="22" xfId="0" applyNumberFormat="1" applyFont="1" applyFill="1" applyBorder="1" applyAlignment="1" applyProtection="1">
      <alignment horizontal="center" vertical="center"/>
      <protection hidden="1"/>
    </xf>
    <xf numFmtId="49" fontId="24" fillId="3" borderId="24" xfId="0" applyNumberFormat="1" applyFont="1" applyFill="1" applyBorder="1" applyAlignment="1" applyProtection="1">
      <alignment horizontal="center" vertical="center"/>
      <protection hidden="1"/>
    </xf>
    <xf numFmtId="49" fontId="24" fillId="3" borderId="27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49" fontId="12" fillId="3" borderId="22" xfId="0" applyNumberFormat="1" applyFont="1" applyFill="1" applyBorder="1" applyAlignment="1" applyProtection="1">
      <alignment horizontal="center" vertical="center"/>
      <protection hidden="1"/>
    </xf>
    <xf numFmtId="49" fontId="12" fillId="3" borderId="24" xfId="0" applyNumberFormat="1" applyFont="1" applyFill="1" applyBorder="1" applyAlignment="1" applyProtection="1">
      <alignment horizontal="center" vertical="center"/>
      <protection hidden="1"/>
    </xf>
    <xf numFmtId="49" fontId="12" fillId="3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49" fontId="5" fillId="3" borderId="20" xfId="0" applyNumberFormat="1" applyFont="1" applyFill="1" applyBorder="1" applyAlignment="1" applyProtection="1">
      <alignment horizontal="center" vertical="center"/>
      <protection hidden="1"/>
    </xf>
    <xf numFmtId="49" fontId="5" fillId="3" borderId="23" xfId="0" applyNumberFormat="1" applyFont="1" applyFill="1" applyBorder="1" applyAlignment="1" applyProtection="1">
      <alignment horizontal="center" vertical="center"/>
      <protection hidden="1"/>
    </xf>
    <xf numFmtId="49" fontId="5" fillId="3" borderId="26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3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1" fillId="3" borderId="2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horizontal="center" vertical="center" shrinkToFit="1"/>
    </xf>
    <xf numFmtId="0" fontId="1" fillId="3" borderId="4" xfId="0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 shrinkToFit="1"/>
      <protection hidden="1"/>
    </xf>
    <xf numFmtId="0" fontId="1" fillId="2" borderId="16" xfId="0" applyFont="1" applyFill="1" applyBorder="1" applyAlignment="1" applyProtection="1">
      <alignment horizontal="center" vertical="center" shrinkToFit="1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 shrinkToFit="1"/>
      <protection hidden="1"/>
    </xf>
    <xf numFmtId="0" fontId="1" fillId="2" borderId="27" xfId="0" applyFont="1" applyFill="1" applyBorder="1" applyAlignment="1" applyProtection="1">
      <alignment horizontal="center" vertical="center" shrinkToFit="1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 shrinkToFit="1"/>
    </xf>
    <xf numFmtId="49" fontId="5" fillId="3" borderId="0" xfId="0" applyNumberFormat="1" applyFont="1" applyFill="1" applyBorder="1" applyAlignment="1" applyProtection="1">
      <alignment horizontal="center" vertical="center" textRotation="90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</xf>
    <xf numFmtId="0" fontId="15" fillId="3" borderId="33" xfId="0" applyFont="1" applyFill="1" applyBorder="1" applyAlignment="1" applyProtection="1">
      <alignment horizontal="center" vertical="center"/>
    </xf>
    <xf numFmtId="0" fontId="15" fillId="3" borderId="34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35" xfId="0" applyFont="1" applyFill="1" applyBorder="1" applyAlignment="1" applyProtection="1">
      <alignment horizontal="center" vertical="center"/>
    </xf>
    <xf numFmtId="0" fontId="16" fillId="3" borderId="34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 shrinkToFit="1"/>
      <protection hidden="1"/>
    </xf>
    <xf numFmtId="0" fontId="18" fillId="2" borderId="10" xfId="0" applyFont="1" applyFill="1" applyBorder="1" applyAlignment="1" applyProtection="1">
      <alignment horizontal="center" vertical="center" shrinkToFit="1"/>
      <protection hidden="1"/>
    </xf>
    <xf numFmtId="0" fontId="20" fillId="3" borderId="17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 shrinkToFit="1"/>
      <protection hidden="1"/>
    </xf>
    <xf numFmtId="0" fontId="18" fillId="2" borderId="14" xfId="0" applyFont="1" applyFill="1" applyBorder="1" applyAlignment="1" applyProtection="1">
      <alignment horizontal="center" vertical="center" shrinkToFit="1"/>
      <protection hidden="1"/>
    </xf>
    <xf numFmtId="0" fontId="18" fillId="2" borderId="11" xfId="0" applyFont="1" applyFill="1" applyBorder="1" applyAlignment="1" applyProtection="1">
      <alignment horizontal="center" vertical="center" shrinkToFit="1"/>
      <protection hidden="1"/>
    </xf>
    <xf numFmtId="0" fontId="18" fillId="2" borderId="12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45" xfId="0" applyNumberFormat="1" applyFont="1" applyFill="1" applyBorder="1" applyAlignment="1" applyProtection="1">
      <alignment horizontal="center" vertical="center" shrinkToFit="1"/>
      <protection hidden="1"/>
    </xf>
    <xf numFmtId="0" fontId="22" fillId="6" borderId="30" xfId="0" applyFont="1" applyFill="1" applyBorder="1" applyAlignment="1">
      <alignment horizontal="center" vertical="center" wrapText="1"/>
    </xf>
    <xf numFmtId="0" fontId="22" fillId="6" borderId="56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22" fillId="6" borderId="57" xfId="0" applyFont="1" applyFill="1" applyBorder="1" applyAlignment="1">
      <alignment horizontal="center" vertical="center" wrapText="1"/>
    </xf>
    <xf numFmtId="0" fontId="22" fillId="6" borderId="5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22" fillId="7" borderId="60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6" borderId="5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" fillId="6" borderId="46" xfId="0" applyFont="1" applyFill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center" vertical="center" wrapText="1"/>
      <protection locked="0"/>
    </xf>
    <xf numFmtId="0" fontId="22" fillId="5" borderId="46" xfId="0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Border="1" applyAlignment="1" applyProtection="1">
      <alignment horizontal="center" vertical="center" wrapText="1"/>
      <protection locked="0"/>
    </xf>
    <xf numFmtId="0" fontId="22" fillId="7" borderId="46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C4:AB83"/>
  <sheetViews>
    <sheetView topLeftCell="A4" zoomScale="70" zoomScaleNormal="70" workbookViewId="0">
      <selection activeCell="S20" sqref="S20"/>
    </sheetView>
  </sheetViews>
  <sheetFormatPr defaultColWidth="9.140625" defaultRowHeight="18.75"/>
  <cols>
    <col min="1" max="3" width="9.140625" style="2"/>
    <col min="4" max="4" width="3.140625" style="1" bestFit="1" customWidth="1"/>
    <col min="5" max="5" width="42.28515625" style="2" customWidth="1"/>
    <col min="6" max="7" width="9.140625" style="2"/>
    <col min="8" max="8" width="3.85546875" style="2" bestFit="1" customWidth="1"/>
    <col min="9" max="9" width="47.140625" style="2" bestFit="1" customWidth="1"/>
    <col min="10" max="11" width="9.140625" style="2"/>
    <col min="12" max="12" width="3.85546875" style="2" bestFit="1" customWidth="1"/>
    <col min="13" max="13" width="29.7109375" style="2" customWidth="1"/>
    <col min="14" max="14" width="18.28515625" style="2" customWidth="1"/>
    <col min="15" max="16384" width="9.140625" style="2"/>
  </cols>
  <sheetData>
    <row r="4" spans="3:28" ht="19.5" thickBot="1">
      <c r="C4" s="12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3:28" ht="19.5" thickBot="1">
      <c r="C5" s="12"/>
      <c r="D5" s="196" t="s">
        <v>3</v>
      </c>
      <c r="E5" s="197"/>
      <c r="F5" s="198"/>
      <c r="G5" s="12"/>
      <c r="H5" s="196" t="s">
        <v>4</v>
      </c>
      <c r="I5" s="197"/>
      <c r="J5" s="198"/>
      <c r="K5" s="12"/>
      <c r="L5" s="196" t="s">
        <v>10</v>
      </c>
      <c r="M5" s="197"/>
      <c r="N5" s="198"/>
      <c r="O5" s="12"/>
    </row>
    <row r="6" spans="3:28" ht="19.5" thickBot="1">
      <c r="C6" s="12"/>
      <c r="D6" s="14" t="s">
        <v>0</v>
      </c>
      <c r="E6" s="15" t="s">
        <v>1</v>
      </c>
      <c r="F6" s="16" t="s">
        <v>2</v>
      </c>
      <c r="G6" s="12"/>
      <c r="H6" s="14" t="s">
        <v>0</v>
      </c>
      <c r="I6" s="15" t="s">
        <v>1</v>
      </c>
      <c r="J6" s="16" t="s">
        <v>2</v>
      </c>
      <c r="K6" s="12"/>
      <c r="L6" s="14" t="s">
        <v>0</v>
      </c>
      <c r="M6" s="15" t="s">
        <v>5</v>
      </c>
      <c r="N6" s="16" t="s">
        <v>2</v>
      </c>
      <c r="O6" s="12"/>
    </row>
    <row r="7" spans="3:28" ht="40.5">
      <c r="C7" s="12"/>
      <c r="D7" s="17">
        <v>1</v>
      </c>
      <c r="E7" s="77" t="s">
        <v>74</v>
      </c>
      <c r="F7" s="21">
        <v>159</v>
      </c>
      <c r="G7" s="12"/>
      <c r="H7" s="17">
        <v>1</v>
      </c>
      <c r="I7" s="77" t="s">
        <v>125</v>
      </c>
      <c r="J7" s="21">
        <v>137</v>
      </c>
      <c r="K7" s="12"/>
      <c r="L7" s="17">
        <v>1</v>
      </c>
      <c r="M7" s="95" t="s">
        <v>189</v>
      </c>
      <c r="N7" s="21">
        <v>292</v>
      </c>
      <c r="O7" s="12"/>
      <c r="Q7" s="101"/>
    </row>
    <row r="8" spans="3:28" ht="40.5">
      <c r="C8" s="12"/>
      <c r="D8" s="18">
        <v>2</v>
      </c>
      <c r="E8" s="77" t="s">
        <v>75</v>
      </c>
      <c r="F8" s="22">
        <v>151</v>
      </c>
      <c r="G8" s="12"/>
      <c r="H8" s="18">
        <v>2</v>
      </c>
      <c r="I8" s="77" t="s">
        <v>126</v>
      </c>
      <c r="J8" s="22">
        <v>135</v>
      </c>
      <c r="K8" s="12"/>
      <c r="L8" s="18">
        <v>2</v>
      </c>
      <c r="M8" s="95" t="s">
        <v>192</v>
      </c>
      <c r="N8" s="22">
        <v>241</v>
      </c>
      <c r="O8" s="12"/>
    </row>
    <row r="9" spans="3:28" ht="40.5">
      <c r="C9" s="12"/>
      <c r="D9" s="18">
        <v>3</v>
      </c>
      <c r="E9" s="77" t="s">
        <v>76</v>
      </c>
      <c r="F9" s="22">
        <v>136</v>
      </c>
      <c r="G9" s="12"/>
      <c r="H9" s="18">
        <v>3</v>
      </c>
      <c r="I9" s="77" t="s">
        <v>127</v>
      </c>
      <c r="J9" s="22">
        <v>133</v>
      </c>
      <c r="K9" s="12"/>
      <c r="L9" s="18">
        <v>3</v>
      </c>
      <c r="M9" s="95" t="s">
        <v>205</v>
      </c>
      <c r="N9" s="22">
        <f>136+71</f>
        <v>207</v>
      </c>
      <c r="O9" s="12"/>
    </row>
    <row r="10" spans="3:28" ht="40.5">
      <c r="C10" s="12"/>
      <c r="D10" s="18">
        <v>4</v>
      </c>
      <c r="E10" s="77" t="s">
        <v>77</v>
      </c>
      <c r="F10" s="22">
        <v>128</v>
      </c>
      <c r="G10" s="12"/>
      <c r="H10" s="18">
        <v>4</v>
      </c>
      <c r="I10" s="77" t="s">
        <v>128</v>
      </c>
      <c r="J10" s="22">
        <v>103</v>
      </c>
      <c r="K10" s="12"/>
      <c r="L10" s="18">
        <v>4</v>
      </c>
      <c r="M10" s="95" t="s">
        <v>191</v>
      </c>
      <c r="N10" s="22">
        <v>191</v>
      </c>
      <c r="O10" s="12"/>
    </row>
    <row r="11" spans="3:28" ht="40.5">
      <c r="C11" s="12"/>
      <c r="D11" s="18">
        <v>5</v>
      </c>
      <c r="E11" s="77" t="s">
        <v>80</v>
      </c>
      <c r="F11" s="22">
        <v>90</v>
      </c>
      <c r="G11" s="12"/>
      <c r="H11" s="18">
        <v>5</v>
      </c>
      <c r="I11" s="77" t="s">
        <v>130</v>
      </c>
      <c r="J11" s="22">
        <v>90</v>
      </c>
      <c r="K11" s="12"/>
      <c r="L11" s="18">
        <v>5</v>
      </c>
      <c r="M11" s="96" t="s">
        <v>190</v>
      </c>
      <c r="N11" s="22">
        <v>168</v>
      </c>
      <c r="O11" s="12"/>
      <c r="Q11" s="2" t="s">
        <v>192</v>
      </c>
    </row>
    <row r="12" spans="3:28" ht="40.5">
      <c r="C12" s="12"/>
      <c r="D12" s="18">
        <v>6</v>
      </c>
      <c r="E12" s="77" t="s">
        <v>78</v>
      </c>
      <c r="F12" s="22">
        <v>88</v>
      </c>
      <c r="G12" s="12"/>
      <c r="H12" s="18">
        <v>6</v>
      </c>
      <c r="I12" s="77" t="s">
        <v>131</v>
      </c>
      <c r="J12" s="22">
        <v>90</v>
      </c>
      <c r="K12" s="12"/>
      <c r="L12" s="18">
        <v>6</v>
      </c>
      <c r="M12" s="95" t="s">
        <v>193</v>
      </c>
      <c r="N12" s="22">
        <v>149</v>
      </c>
      <c r="O12" s="12"/>
    </row>
    <row r="13" spans="3:28" ht="40.5">
      <c r="C13" s="12"/>
      <c r="D13" s="18">
        <v>7</v>
      </c>
      <c r="E13" s="77" t="s">
        <v>81</v>
      </c>
      <c r="F13" s="22">
        <v>83</v>
      </c>
      <c r="G13" s="12"/>
      <c r="H13" s="18">
        <v>7</v>
      </c>
      <c r="I13" s="77" t="s">
        <v>129</v>
      </c>
      <c r="J13" s="88">
        <v>87</v>
      </c>
      <c r="K13" s="12"/>
      <c r="L13" s="18">
        <v>7</v>
      </c>
      <c r="M13" s="95" t="s">
        <v>194</v>
      </c>
      <c r="N13" s="22">
        <v>108</v>
      </c>
      <c r="O13" s="12"/>
      <c r="T13" s="200"/>
      <c r="U13" s="200"/>
      <c r="V13" s="200"/>
      <c r="W13" s="200"/>
      <c r="X13" s="200"/>
      <c r="Y13" s="200"/>
      <c r="Z13" s="200"/>
      <c r="AA13" s="200"/>
      <c r="AB13" s="200"/>
    </row>
    <row r="14" spans="3:28" ht="40.5">
      <c r="C14" s="12"/>
      <c r="D14" s="18">
        <v>8</v>
      </c>
      <c r="E14" s="77" t="s">
        <v>82</v>
      </c>
      <c r="F14" s="22">
        <v>80</v>
      </c>
      <c r="G14" s="12"/>
      <c r="H14" s="18">
        <v>8</v>
      </c>
      <c r="I14" s="77" t="s">
        <v>133</v>
      </c>
      <c r="J14" s="88">
        <v>71</v>
      </c>
      <c r="K14" s="12"/>
      <c r="L14" s="18">
        <v>8</v>
      </c>
      <c r="M14" s="95" t="s">
        <v>195</v>
      </c>
      <c r="N14" s="22">
        <v>65</v>
      </c>
      <c r="O14" s="12"/>
    </row>
    <row r="15" spans="3:28" ht="40.5">
      <c r="C15" s="12"/>
      <c r="D15" s="18">
        <v>9</v>
      </c>
      <c r="E15" s="77" t="s">
        <v>79</v>
      </c>
      <c r="F15" s="22">
        <v>73</v>
      </c>
      <c r="G15" s="12"/>
      <c r="H15" s="18">
        <v>9</v>
      </c>
      <c r="I15" s="77" t="s">
        <v>134</v>
      </c>
      <c r="J15" s="22">
        <v>66</v>
      </c>
      <c r="K15" s="12"/>
      <c r="L15" s="18">
        <v>9</v>
      </c>
      <c r="M15" s="95" t="s">
        <v>198</v>
      </c>
      <c r="N15" s="22">
        <v>63</v>
      </c>
      <c r="O15" s="12"/>
    </row>
    <row r="16" spans="3:28" ht="56.25">
      <c r="C16" s="12"/>
      <c r="D16" s="18">
        <v>10</v>
      </c>
      <c r="E16" s="77" t="s">
        <v>83</v>
      </c>
      <c r="F16" s="22">
        <v>46</v>
      </c>
      <c r="G16" s="12"/>
      <c r="H16" s="18">
        <v>10</v>
      </c>
      <c r="I16" s="77" t="s">
        <v>132</v>
      </c>
      <c r="J16" s="22">
        <v>65</v>
      </c>
      <c r="K16" s="12"/>
      <c r="L16" s="18">
        <v>10</v>
      </c>
      <c r="M16" s="102" t="s">
        <v>197</v>
      </c>
      <c r="N16" s="22">
        <v>62.5</v>
      </c>
      <c r="O16" s="12"/>
    </row>
    <row r="17" spans="3:15" ht="40.5">
      <c r="C17" s="12"/>
      <c r="D17" s="18">
        <v>11</v>
      </c>
      <c r="E17" s="77" t="s">
        <v>84</v>
      </c>
      <c r="F17" s="22">
        <v>37</v>
      </c>
      <c r="G17" s="12"/>
      <c r="H17" s="18">
        <v>11</v>
      </c>
      <c r="I17" s="77" t="s">
        <v>135</v>
      </c>
      <c r="J17" s="22">
        <v>38.5</v>
      </c>
      <c r="K17" s="12"/>
      <c r="L17" s="18">
        <v>11</v>
      </c>
      <c r="M17" s="95" t="s">
        <v>196</v>
      </c>
      <c r="N17" s="22">
        <v>35</v>
      </c>
      <c r="O17" s="12"/>
    </row>
    <row r="18" spans="3:15" ht="40.5">
      <c r="C18" s="12"/>
      <c r="D18" s="18">
        <v>12</v>
      </c>
      <c r="E18" s="77" t="s">
        <v>85</v>
      </c>
      <c r="F18" s="22">
        <v>32</v>
      </c>
      <c r="G18" s="12"/>
      <c r="H18" s="18">
        <v>12</v>
      </c>
      <c r="I18" s="80" t="s">
        <v>144</v>
      </c>
      <c r="J18" s="22">
        <v>37</v>
      </c>
      <c r="K18" s="12"/>
      <c r="L18" s="18">
        <v>12</v>
      </c>
      <c r="M18" s="97" t="s">
        <v>203</v>
      </c>
      <c r="N18" s="22">
        <v>34</v>
      </c>
      <c r="O18" s="12"/>
    </row>
    <row r="19" spans="3:15" ht="20.25">
      <c r="C19" s="12"/>
      <c r="D19" s="18">
        <v>13</v>
      </c>
      <c r="E19" s="77" t="s">
        <v>92</v>
      </c>
      <c r="F19" s="22">
        <v>31</v>
      </c>
      <c r="G19" s="12"/>
      <c r="H19" s="18">
        <v>13</v>
      </c>
      <c r="I19" s="80" t="s">
        <v>136</v>
      </c>
      <c r="J19" s="22">
        <v>35</v>
      </c>
      <c r="K19" s="12"/>
      <c r="L19" s="18">
        <v>13</v>
      </c>
      <c r="M19" s="95"/>
      <c r="N19" s="22">
        <v>25</v>
      </c>
      <c r="O19" s="12"/>
    </row>
    <row r="20" spans="3:15" ht="40.5">
      <c r="C20" s="12"/>
      <c r="D20" s="18">
        <v>14</v>
      </c>
      <c r="E20" s="77" t="s">
        <v>86</v>
      </c>
      <c r="F20" s="22">
        <v>28</v>
      </c>
      <c r="G20" s="12"/>
      <c r="H20" s="18">
        <v>14</v>
      </c>
      <c r="I20" s="80" t="s">
        <v>169</v>
      </c>
      <c r="J20" s="22">
        <v>32</v>
      </c>
      <c r="K20" s="12"/>
      <c r="L20" s="18">
        <v>14</v>
      </c>
      <c r="M20" s="95" t="s">
        <v>202</v>
      </c>
      <c r="N20" s="22">
        <v>18</v>
      </c>
      <c r="O20" s="12"/>
    </row>
    <row r="21" spans="3:15" ht="40.5">
      <c r="C21" s="12"/>
      <c r="D21" s="18">
        <v>15</v>
      </c>
      <c r="E21" s="77" t="s">
        <v>91</v>
      </c>
      <c r="F21" s="22">
        <v>28</v>
      </c>
      <c r="G21" s="12"/>
      <c r="H21" s="18">
        <v>15</v>
      </c>
      <c r="I21" s="77" t="s">
        <v>137</v>
      </c>
      <c r="J21" s="22">
        <v>29</v>
      </c>
      <c r="K21" s="12"/>
      <c r="L21" s="18">
        <v>15</v>
      </c>
      <c r="M21" s="98" t="s">
        <v>199</v>
      </c>
      <c r="N21" s="22">
        <v>17</v>
      </c>
      <c r="O21" s="12"/>
    </row>
    <row r="22" spans="3:15" ht="40.5">
      <c r="C22" s="12"/>
      <c r="D22" s="18">
        <v>16</v>
      </c>
      <c r="E22" s="77" t="s">
        <v>87</v>
      </c>
      <c r="F22" s="22">
        <v>25</v>
      </c>
      <c r="G22" s="12"/>
      <c r="H22" s="18">
        <v>16</v>
      </c>
      <c r="I22" s="77" t="s">
        <v>138</v>
      </c>
      <c r="J22" s="22">
        <v>28</v>
      </c>
      <c r="K22" s="12"/>
      <c r="L22" s="18">
        <v>16</v>
      </c>
      <c r="M22" s="95" t="s">
        <v>201</v>
      </c>
      <c r="N22" s="22">
        <v>14</v>
      </c>
      <c r="O22" s="12"/>
    </row>
    <row r="23" spans="3:15" ht="40.5">
      <c r="C23" s="12"/>
      <c r="D23" s="18">
        <v>17</v>
      </c>
      <c r="E23" s="77" t="s">
        <v>88</v>
      </c>
      <c r="F23" s="22">
        <v>24</v>
      </c>
      <c r="G23" s="12"/>
      <c r="H23" s="18">
        <v>17</v>
      </c>
      <c r="I23" s="77" t="s">
        <v>139</v>
      </c>
      <c r="J23" s="22">
        <v>28</v>
      </c>
      <c r="K23" s="12"/>
      <c r="L23" s="18">
        <v>17</v>
      </c>
      <c r="M23" s="99" t="s">
        <v>204</v>
      </c>
      <c r="N23" s="22">
        <v>9</v>
      </c>
      <c r="O23" s="12"/>
    </row>
    <row r="24" spans="3:15" ht="40.5">
      <c r="C24" s="12"/>
      <c r="D24" s="18">
        <v>18</v>
      </c>
      <c r="E24" s="77" t="s">
        <v>89</v>
      </c>
      <c r="F24" s="22">
        <v>23</v>
      </c>
      <c r="G24" s="12"/>
      <c r="H24" s="18">
        <v>18</v>
      </c>
      <c r="I24" s="77" t="s">
        <v>140</v>
      </c>
      <c r="J24" s="22">
        <v>27</v>
      </c>
      <c r="K24" s="12"/>
      <c r="L24" s="18">
        <v>18</v>
      </c>
      <c r="M24" s="95" t="s">
        <v>200</v>
      </c>
      <c r="N24" s="22">
        <v>0</v>
      </c>
      <c r="O24" s="12"/>
    </row>
    <row r="25" spans="3:15" ht="20.25">
      <c r="C25" s="12"/>
      <c r="D25" s="18">
        <v>19</v>
      </c>
      <c r="E25" s="77" t="s">
        <v>90</v>
      </c>
      <c r="F25" s="88">
        <v>20</v>
      </c>
      <c r="G25" s="12"/>
      <c r="H25" s="18">
        <v>19</v>
      </c>
      <c r="I25" s="77" t="s">
        <v>141</v>
      </c>
      <c r="J25" s="22">
        <v>26</v>
      </c>
      <c r="K25" s="12"/>
      <c r="L25" s="18">
        <v>19</v>
      </c>
      <c r="M25" s="100"/>
      <c r="N25" s="22">
        <v>0</v>
      </c>
      <c r="O25" s="12"/>
    </row>
    <row r="26" spans="3:15" ht="37.5">
      <c r="C26" s="12"/>
      <c r="D26" s="18">
        <v>20</v>
      </c>
      <c r="E26" s="77" t="s">
        <v>93</v>
      </c>
      <c r="F26" s="22">
        <v>17</v>
      </c>
      <c r="G26" s="12"/>
      <c r="H26" s="18">
        <v>20</v>
      </c>
      <c r="I26" s="80" t="s">
        <v>143</v>
      </c>
      <c r="J26" s="22">
        <v>25</v>
      </c>
      <c r="K26" s="12"/>
      <c r="L26" s="18">
        <v>20</v>
      </c>
      <c r="M26" s="100" t="s">
        <v>235</v>
      </c>
      <c r="N26" s="22">
        <v>0</v>
      </c>
      <c r="O26" s="12"/>
    </row>
    <row r="27" spans="3:15" ht="20.25">
      <c r="C27" s="12"/>
      <c r="D27" s="18">
        <v>21</v>
      </c>
      <c r="E27" s="77" t="s">
        <v>97</v>
      </c>
      <c r="F27" s="22">
        <v>17</v>
      </c>
      <c r="G27" s="12"/>
      <c r="H27" s="18">
        <v>21</v>
      </c>
      <c r="I27" s="80" t="s">
        <v>142</v>
      </c>
      <c r="J27" s="22">
        <v>24</v>
      </c>
      <c r="K27" s="12"/>
      <c r="L27" s="12"/>
      <c r="M27" s="12"/>
      <c r="N27" s="19"/>
      <c r="O27" s="12"/>
    </row>
    <row r="28" spans="3:15" ht="20.25">
      <c r="C28" s="12"/>
      <c r="D28" s="18">
        <v>22</v>
      </c>
      <c r="E28" s="77" t="s">
        <v>94</v>
      </c>
      <c r="F28" s="22">
        <v>15</v>
      </c>
      <c r="G28" s="12"/>
      <c r="H28" s="18">
        <v>22</v>
      </c>
      <c r="I28" s="80" t="s">
        <v>173</v>
      </c>
      <c r="J28" s="22">
        <v>23</v>
      </c>
      <c r="K28" s="12"/>
      <c r="L28" s="12"/>
      <c r="M28" s="12"/>
      <c r="N28" s="19"/>
      <c r="O28" s="12"/>
    </row>
    <row r="29" spans="3:15" ht="20.25">
      <c r="C29" s="12"/>
      <c r="D29" s="18">
        <v>23</v>
      </c>
      <c r="E29" s="77" t="s">
        <v>96</v>
      </c>
      <c r="F29" s="22">
        <v>15</v>
      </c>
      <c r="G29" s="12"/>
      <c r="H29" s="18">
        <v>23</v>
      </c>
      <c r="I29" s="79" t="s">
        <v>145</v>
      </c>
      <c r="J29" s="22">
        <v>20</v>
      </c>
      <c r="K29" s="12"/>
      <c r="L29" s="12"/>
      <c r="M29" s="12"/>
      <c r="N29" s="12"/>
      <c r="O29" s="12"/>
    </row>
    <row r="30" spans="3:15" ht="20.25">
      <c r="C30" s="12"/>
      <c r="D30" s="18">
        <v>24</v>
      </c>
      <c r="E30" s="77" t="s">
        <v>95</v>
      </c>
      <c r="F30" s="22">
        <v>14</v>
      </c>
      <c r="G30" s="12"/>
      <c r="H30" s="18">
        <v>24</v>
      </c>
      <c r="I30" s="78" t="s">
        <v>146</v>
      </c>
      <c r="J30" s="22">
        <v>17</v>
      </c>
      <c r="K30" s="12"/>
      <c r="L30" s="12"/>
      <c r="M30" s="12"/>
      <c r="N30" s="12"/>
      <c r="O30" s="12"/>
    </row>
    <row r="31" spans="3:15" ht="20.25">
      <c r="C31" s="12"/>
      <c r="D31" s="18">
        <v>25</v>
      </c>
      <c r="E31" s="77" t="s">
        <v>115</v>
      </c>
      <c r="F31" s="22">
        <v>14</v>
      </c>
      <c r="G31" s="12"/>
      <c r="H31" s="18">
        <v>25</v>
      </c>
      <c r="I31" s="80" t="s">
        <v>151</v>
      </c>
      <c r="J31" s="22">
        <v>17</v>
      </c>
      <c r="K31" s="12"/>
      <c r="L31" s="12"/>
      <c r="M31" s="12"/>
      <c r="N31" s="12"/>
      <c r="O31" s="12"/>
    </row>
    <row r="32" spans="3:15" ht="20.25">
      <c r="C32" s="12"/>
      <c r="D32" s="18">
        <v>26</v>
      </c>
      <c r="E32" s="77" t="s">
        <v>98</v>
      </c>
      <c r="F32" s="22">
        <v>12</v>
      </c>
      <c r="G32" s="12"/>
      <c r="H32" s="18">
        <v>26</v>
      </c>
      <c r="I32" s="77" t="s">
        <v>147</v>
      </c>
      <c r="J32" s="22">
        <v>16</v>
      </c>
      <c r="K32" s="12"/>
      <c r="L32" s="12"/>
      <c r="M32" s="12"/>
      <c r="N32" s="12"/>
      <c r="O32" s="12"/>
    </row>
    <row r="33" spans="3:15" ht="20.25">
      <c r="C33" s="12"/>
      <c r="D33" s="18">
        <v>27</v>
      </c>
      <c r="E33" s="78" t="s">
        <v>99</v>
      </c>
      <c r="F33" s="22">
        <v>11</v>
      </c>
      <c r="G33" s="12"/>
      <c r="H33" s="18">
        <v>27</v>
      </c>
      <c r="I33" s="77" t="s">
        <v>148</v>
      </c>
      <c r="J33" s="22">
        <v>14</v>
      </c>
      <c r="K33" s="12"/>
      <c r="L33" s="12"/>
      <c r="M33" s="12"/>
      <c r="N33" s="12"/>
      <c r="O33" s="12"/>
    </row>
    <row r="34" spans="3:15" ht="20.25">
      <c r="C34" s="12"/>
      <c r="D34" s="18">
        <v>28</v>
      </c>
      <c r="E34" s="77" t="s">
        <v>124</v>
      </c>
      <c r="F34" s="22">
        <v>11</v>
      </c>
      <c r="G34" s="12"/>
      <c r="H34" s="18">
        <v>28</v>
      </c>
      <c r="I34" s="77" t="s">
        <v>149</v>
      </c>
      <c r="J34" s="22">
        <v>14</v>
      </c>
      <c r="K34" s="12"/>
      <c r="L34" s="12"/>
      <c r="M34" s="12"/>
      <c r="N34" s="12"/>
      <c r="O34" s="12"/>
    </row>
    <row r="35" spans="3:15" ht="20.25">
      <c r="C35" s="12"/>
      <c r="D35" s="18">
        <v>29</v>
      </c>
      <c r="E35" s="82" t="s">
        <v>170</v>
      </c>
      <c r="F35" s="22">
        <v>11</v>
      </c>
      <c r="G35" s="12"/>
      <c r="H35" s="18">
        <v>29</v>
      </c>
      <c r="I35" s="80" t="s">
        <v>155</v>
      </c>
      <c r="J35" s="22">
        <v>13</v>
      </c>
      <c r="K35" s="12"/>
      <c r="L35" s="12"/>
      <c r="M35" s="12"/>
      <c r="N35" s="12"/>
      <c r="O35" s="12"/>
    </row>
    <row r="36" spans="3:15" ht="20.25">
      <c r="C36" s="12"/>
      <c r="D36" s="18">
        <v>30</v>
      </c>
      <c r="E36" s="77" t="s">
        <v>100</v>
      </c>
      <c r="F36" s="22">
        <v>10</v>
      </c>
      <c r="G36" s="12"/>
      <c r="H36" s="18">
        <v>30</v>
      </c>
      <c r="I36" s="77" t="s">
        <v>150</v>
      </c>
      <c r="J36" s="22">
        <v>12</v>
      </c>
      <c r="K36" s="12"/>
      <c r="L36" s="12"/>
      <c r="M36" s="12"/>
      <c r="N36" s="12"/>
      <c r="O36" s="12"/>
    </row>
    <row r="37" spans="3:15" ht="20.25">
      <c r="C37" s="12"/>
      <c r="D37" s="18">
        <v>31</v>
      </c>
      <c r="E37" s="77" t="s">
        <v>101</v>
      </c>
      <c r="F37" s="22">
        <v>10</v>
      </c>
      <c r="G37" s="12"/>
      <c r="H37" s="18">
        <v>31</v>
      </c>
      <c r="I37" s="79" t="s">
        <v>168</v>
      </c>
      <c r="J37" s="22">
        <v>11</v>
      </c>
      <c r="K37" s="12"/>
      <c r="L37" s="12"/>
      <c r="M37" s="12"/>
      <c r="N37" s="12"/>
      <c r="O37" s="12"/>
    </row>
    <row r="38" spans="3:15" ht="20.25">
      <c r="C38" s="12"/>
      <c r="D38" s="18">
        <v>32</v>
      </c>
      <c r="E38" s="77" t="s">
        <v>102</v>
      </c>
      <c r="F38" s="22">
        <v>10</v>
      </c>
      <c r="G38" s="12"/>
      <c r="H38" s="18">
        <v>32</v>
      </c>
      <c r="I38" s="86" t="s">
        <v>174</v>
      </c>
      <c r="J38" s="22">
        <v>11</v>
      </c>
      <c r="K38" s="12"/>
      <c r="L38" s="12"/>
      <c r="M38" s="12"/>
      <c r="N38" s="12"/>
      <c r="O38" s="12"/>
    </row>
    <row r="39" spans="3:15" ht="20.25">
      <c r="C39" s="12"/>
      <c r="D39" s="18">
        <v>33</v>
      </c>
      <c r="E39" s="77" t="s">
        <v>103</v>
      </c>
      <c r="F39" s="22">
        <v>10</v>
      </c>
      <c r="G39" s="12"/>
      <c r="H39" s="18">
        <v>33</v>
      </c>
      <c r="I39" s="77" t="s">
        <v>152</v>
      </c>
      <c r="J39" s="22">
        <v>10</v>
      </c>
      <c r="K39" s="12"/>
      <c r="L39" s="12"/>
      <c r="M39" s="12"/>
      <c r="N39" s="12"/>
      <c r="O39" s="12"/>
    </row>
    <row r="40" spans="3:15" ht="20.25">
      <c r="C40" s="12"/>
      <c r="D40" s="18">
        <v>34</v>
      </c>
      <c r="E40" s="77" t="s">
        <v>104</v>
      </c>
      <c r="F40" s="22">
        <v>9</v>
      </c>
      <c r="G40" s="12"/>
      <c r="H40" s="18">
        <v>34</v>
      </c>
      <c r="I40" s="78" t="s">
        <v>153</v>
      </c>
      <c r="J40" s="22">
        <v>10</v>
      </c>
      <c r="K40" s="12"/>
      <c r="L40" s="12"/>
      <c r="M40" s="12"/>
      <c r="N40" s="12"/>
      <c r="O40" s="12"/>
    </row>
    <row r="41" spans="3:15" ht="20.25">
      <c r="C41" s="12"/>
      <c r="D41" s="18">
        <v>35</v>
      </c>
      <c r="E41" s="77" t="s">
        <v>105</v>
      </c>
      <c r="F41" s="22">
        <v>9</v>
      </c>
      <c r="G41" s="12"/>
      <c r="H41" s="72">
        <v>35</v>
      </c>
      <c r="I41" s="83" t="s">
        <v>154</v>
      </c>
      <c r="J41" s="76">
        <v>9</v>
      </c>
      <c r="K41" s="12"/>
      <c r="L41" s="12"/>
      <c r="M41" s="12"/>
      <c r="N41" s="12"/>
      <c r="O41" s="12"/>
    </row>
    <row r="42" spans="3:15" ht="20.25">
      <c r="C42" s="12"/>
      <c r="D42" s="18">
        <v>36</v>
      </c>
      <c r="E42" s="77" t="s">
        <v>106</v>
      </c>
      <c r="F42" s="22">
        <v>9</v>
      </c>
      <c r="G42" s="12"/>
      <c r="H42" s="74">
        <v>36</v>
      </c>
      <c r="I42" s="80" t="s">
        <v>156</v>
      </c>
      <c r="J42" s="75">
        <v>8.5</v>
      </c>
      <c r="K42" s="12"/>
      <c r="L42" s="12"/>
      <c r="M42" s="12"/>
      <c r="N42" s="12"/>
      <c r="O42" s="12"/>
    </row>
    <row r="43" spans="3:15" ht="20.25">
      <c r="C43" s="12"/>
      <c r="D43" s="18">
        <v>37</v>
      </c>
      <c r="E43" s="77" t="s">
        <v>107</v>
      </c>
      <c r="F43" s="22">
        <v>8</v>
      </c>
      <c r="G43" s="12"/>
      <c r="H43" s="18">
        <v>37</v>
      </c>
      <c r="I43" s="77" t="s">
        <v>157</v>
      </c>
      <c r="J43" s="22">
        <v>8</v>
      </c>
      <c r="K43" s="12"/>
      <c r="L43" s="12"/>
      <c r="M43" s="12"/>
      <c r="N43" s="12"/>
      <c r="O43" s="12"/>
    </row>
    <row r="44" spans="3:15" ht="20.25">
      <c r="D44" s="18">
        <v>38</v>
      </c>
      <c r="E44" s="79" t="s">
        <v>108</v>
      </c>
      <c r="F44" s="22">
        <v>8</v>
      </c>
      <c r="H44" s="18">
        <v>38</v>
      </c>
      <c r="I44" s="80" t="s">
        <v>158</v>
      </c>
      <c r="J44" s="22">
        <v>7</v>
      </c>
    </row>
    <row r="45" spans="3:15" ht="20.25">
      <c r="D45" s="18">
        <v>39</v>
      </c>
      <c r="E45" s="77" t="s">
        <v>109</v>
      </c>
      <c r="F45" s="22">
        <v>8</v>
      </c>
      <c r="H45" s="18">
        <v>39</v>
      </c>
      <c r="I45" s="80" t="s">
        <v>159</v>
      </c>
      <c r="J45" s="22">
        <v>7</v>
      </c>
    </row>
    <row r="46" spans="3:15" ht="20.25">
      <c r="D46" s="18">
        <v>40</v>
      </c>
      <c r="E46" s="77" t="s">
        <v>110</v>
      </c>
      <c r="F46" s="22">
        <v>8</v>
      </c>
      <c r="H46" s="18">
        <v>40</v>
      </c>
      <c r="I46" s="77" t="s">
        <v>160</v>
      </c>
      <c r="J46" s="22">
        <v>6</v>
      </c>
    </row>
    <row r="47" spans="3:15" ht="20.25">
      <c r="D47" s="18">
        <v>41</v>
      </c>
      <c r="E47" s="77" t="s">
        <v>111</v>
      </c>
      <c r="F47" s="22">
        <v>8</v>
      </c>
      <c r="H47" s="18">
        <v>41</v>
      </c>
      <c r="I47" s="80" t="s">
        <v>165</v>
      </c>
      <c r="J47" s="22">
        <v>6</v>
      </c>
    </row>
    <row r="48" spans="3:15" ht="20.25">
      <c r="D48" s="18">
        <v>42</v>
      </c>
      <c r="E48" s="77" t="s">
        <v>112</v>
      </c>
      <c r="F48" s="22">
        <v>7</v>
      </c>
      <c r="H48" s="18">
        <v>42</v>
      </c>
      <c r="I48" s="79" t="s">
        <v>161</v>
      </c>
      <c r="J48" s="22">
        <v>5</v>
      </c>
    </row>
    <row r="49" spans="4:10" ht="20.25">
      <c r="D49" s="18">
        <v>43</v>
      </c>
      <c r="E49" s="77" t="s">
        <v>116</v>
      </c>
      <c r="F49" s="22">
        <v>7</v>
      </c>
      <c r="H49" s="18">
        <v>43</v>
      </c>
      <c r="I49" s="80" t="s">
        <v>162</v>
      </c>
      <c r="J49" s="22">
        <v>5</v>
      </c>
    </row>
    <row r="50" spans="4:10" ht="20.25">
      <c r="D50" s="18">
        <v>44</v>
      </c>
      <c r="E50" s="77" t="s">
        <v>113</v>
      </c>
      <c r="F50" s="22">
        <v>6</v>
      </c>
      <c r="H50" s="18">
        <v>44</v>
      </c>
      <c r="I50" s="86" t="s">
        <v>175</v>
      </c>
      <c r="J50" s="22">
        <v>5</v>
      </c>
    </row>
    <row r="51" spans="4:10" ht="20.25">
      <c r="D51" s="18">
        <v>45</v>
      </c>
      <c r="E51" s="77" t="s">
        <v>114</v>
      </c>
      <c r="F51" s="22">
        <v>6</v>
      </c>
      <c r="H51" s="18">
        <v>45</v>
      </c>
      <c r="I51" s="80" t="s">
        <v>163</v>
      </c>
      <c r="J51" s="22">
        <v>4</v>
      </c>
    </row>
    <row r="52" spans="4:10" ht="20.25">
      <c r="D52" s="18">
        <v>46</v>
      </c>
      <c r="E52" s="77" t="s">
        <v>117</v>
      </c>
      <c r="F52" s="22">
        <v>5.5</v>
      </c>
      <c r="H52" s="18">
        <v>46</v>
      </c>
      <c r="I52" s="80" t="s">
        <v>164</v>
      </c>
      <c r="J52" s="22">
        <v>4</v>
      </c>
    </row>
    <row r="53" spans="4:10" ht="20.25">
      <c r="D53" s="18">
        <v>47</v>
      </c>
      <c r="E53" s="77" t="s">
        <v>118</v>
      </c>
      <c r="F53" s="22">
        <v>5</v>
      </c>
      <c r="H53" s="18">
        <v>47</v>
      </c>
      <c r="I53" s="85" t="s">
        <v>166</v>
      </c>
      <c r="J53" s="22">
        <v>3</v>
      </c>
    </row>
    <row r="54" spans="4:10" ht="20.25">
      <c r="D54" s="18">
        <v>48</v>
      </c>
      <c r="E54" s="77" t="s">
        <v>119</v>
      </c>
      <c r="F54" s="22">
        <v>5</v>
      </c>
      <c r="H54" s="18">
        <v>48</v>
      </c>
      <c r="I54" s="85" t="s">
        <v>167</v>
      </c>
      <c r="J54" s="22">
        <v>2</v>
      </c>
    </row>
    <row r="55" spans="4:10" ht="20.25">
      <c r="D55" s="18">
        <v>49</v>
      </c>
      <c r="E55" s="79" t="s">
        <v>121</v>
      </c>
      <c r="F55" s="22">
        <v>4</v>
      </c>
      <c r="H55" s="18">
        <v>49</v>
      </c>
      <c r="I55" s="87" t="s">
        <v>176</v>
      </c>
      <c r="J55" s="22">
        <v>1</v>
      </c>
    </row>
    <row r="56" spans="4:10" ht="20.25">
      <c r="D56" s="18">
        <v>50</v>
      </c>
      <c r="E56" s="77" t="s">
        <v>120</v>
      </c>
      <c r="F56" s="22">
        <v>3</v>
      </c>
      <c r="H56" s="18">
        <v>50</v>
      </c>
      <c r="I56" s="87" t="s">
        <v>177</v>
      </c>
      <c r="J56" s="22">
        <v>1</v>
      </c>
    </row>
    <row r="57" spans="4:10" ht="20.25">
      <c r="D57" s="18">
        <v>51</v>
      </c>
      <c r="E57" s="77" t="s">
        <v>122</v>
      </c>
      <c r="F57" s="22">
        <v>3</v>
      </c>
      <c r="H57" s="18">
        <v>51</v>
      </c>
      <c r="I57" s="87" t="s">
        <v>178</v>
      </c>
      <c r="J57" s="22">
        <v>1</v>
      </c>
    </row>
    <row r="58" spans="4:10" ht="20.25">
      <c r="D58" s="18">
        <v>52</v>
      </c>
      <c r="E58" s="83" t="s">
        <v>123</v>
      </c>
      <c r="F58" s="22">
        <v>2</v>
      </c>
      <c r="H58" s="18">
        <v>52</v>
      </c>
      <c r="I58" s="87" t="s">
        <v>179</v>
      </c>
      <c r="J58" s="22">
        <v>1</v>
      </c>
    </row>
    <row r="59" spans="4:10" ht="20.25">
      <c r="D59" s="18">
        <v>53</v>
      </c>
      <c r="E59" s="81" t="s">
        <v>171</v>
      </c>
      <c r="F59" s="22">
        <v>1</v>
      </c>
      <c r="H59" s="18">
        <v>53</v>
      </c>
      <c r="I59" s="87" t="s">
        <v>182</v>
      </c>
      <c r="J59" s="22">
        <v>0</v>
      </c>
    </row>
    <row r="60" spans="4:10" ht="20.25">
      <c r="D60" s="18">
        <v>54</v>
      </c>
      <c r="E60" s="81" t="s">
        <v>172</v>
      </c>
      <c r="F60" s="22">
        <v>1</v>
      </c>
      <c r="H60" s="18">
        <v>54</v>
      </c>
      <c r="I60" s="87" t="s">
        <v>183</v>
      </c>
      <c r="J60" s="22">
        <v>0</v>
      </c>
    </row>
    <row r="61" spans="4:10" ht="20.25">
      <c r="D61" s="18">
        <v>55</v>
      </c>
      <c r="E61" s="81" t="s">
        <v>180</v>
      </c>
      <c r="F61" s="22">
        <v>0</v>
      </c>
      <c r="H61" s="18">
        <v>55</v>
      </c>
      <c r="I61" s="87" t="s">
        <v>184</v>
      </c>
      <c r="J61" s="22">
        <v>3</v>
      </c>
    </row>
    <row r="62" spans="4:10" ht="20.25">
      <c r="D62" s="18">
        <v>56</v>
      </c>
      <c r="E62" s="81" t="s">
        <v>181</v>
      </c>
      <c r="F62" s="22">
        <v>0</v>
      </c>
      <c r="H62" s="18">
        <v>56</v>
      </c>
      <c r="I62" s="87"/>
      <c r="J62" s="22"/>
    </row>
    <row r="63" spans="4:10" ht="20.25">
      <c r="D63" s="18">
        <v>57</v>
      </c>
      <c r="E63" s="81"/>
      <c r="F63" s="22"/>
      <c r="H63" s="18">
        <v>57</v>
      </c>
      <c r="I63" s="87"/>
      <c r="J63" s="22"/>
    </row>
    <row r="64" spans="4:10" ht="20.25">
      <c r="D64" s="18">
        <v>58</v>
      </c>
      <c r="E64" s="81"/>
      <c r="F64" s="22"/>
      <c r="H64" s="18">
        <v>58</v>
      </c>
      <c r="I64" s="87"/>
      <c r="J64" s="22"/>
    </row>
    <row r="65" spans="4:21" ht="20.25">
      <c r="D65" s="18">
        <v>59</v>
      </c>
      <c r="E65" s="81"/>
      <c r="F65" s="22"/>
      <c r="H65" s="18">
        <v>59</v>
      </c>
      <c r="I65" s="87"/>
      <c r="J65" s="22"/>
    </row>
    <row r="66" spans="4:21" ht="20.25">
      <c r="D66" s="18">
        <v>60</v>
      </c>
      <c r="E66" s="81"/>
      <c r="F66" s="22"/>
      <c r="H66" s="18">
        <v>60</v>
      </c>
      <c r="I66" s="87"/>
      <c r="J66" s="22"/>
    </row>
    <row r="67" spans="4:21" ht="20.25">
      <c r="D67" s="18">
        <v>61</v>
      </c>
      <c r="E67" s="81"/>
      <c r="F67" s="22"/>
      <c r="H67" s="18">
        <v>61</v>
      </c>
      <c r="I67" s="87"/>
      <c r="J67" s="22"/>
    </row>
    <row r="68" spans="4:21" ht="20.25">
      <c r="D68" s="18">
        <v>62</v>
      </c>
      <c r="E68" s="81"/>
      <c r="F68" s="22"/>
      <c r="H68" s="18">
        <v>62</v>
      </c>
      <c r="I68" s="87"/>
      <c r="J68" s="22"/>
    </row>
    <row r="69" spans="4:21" ht="20.25">
      <c r="D69" s="18">
        <v>63</v>
      </c>
      <c r="E69" s="81"/>
      <c r="F69" s="22"/>
      <c r="H69" s="74">
        <v>63</v>
      </c>
      <c r="I69" s="89"/>
      <c r="J69" s="75"/>
    </row>
    <row r="70" spans="4:21" ht="20.25">
      <c r="D70" s="18">
        <v>64</v>
      </c>
      <c r="E70" s="81"/>
      <c r="F70" s="22"/>
      <c r="H70" s="18">
        <v>64</v>
      </c>
      <c r="I70" s="87"/>
      <c r="J70" s="22"/>
    </row>
    <row r="71" spans="4:21" ht="20.25">
      <c r="D71" s="18">
        <v>65</v>
      </c>
      <c r="E71" s="81"/>
      <c r="F71" s="22"/>
      <c r="H71" s="18">
        <v>65</v>
      </c>
      <c r="I71" s="87"/>
      <c r="J71" s="22"/>
    </row>
    <row r="72" spans="4:21" ht="20.25">
      <c r="D72" s="18">
        <v>66</v>
      </c>
      <c r="E72" s="81"/>
      <c r="F72" s="22"/>
      <c r="H72" s="18">
        <v>66</v>
      </c>
      <c r="I72" s="87"/>
      <c r="J72" s="22"/>
    </row>
    <row r="73" spans="4:21" ht="20.25">
      <c r="D73" s="18">
        <v>67</v>
      </c>
      <c r="E73" s="81"/>
      <c r="F73" s="22"/>
      <c r="H73" s="18">
        <v>67</v>
      </c>
      <c r="I73" s="87"/>
      <c r="J73" s="22"/>
    </row>
    <row r="74" spans="4:21" ht="20.25">
      <c r="D74" s="18">
        <v>68</v>
      </c>
      <c r="E74" s="81"/>
      <c r="F74" s="22"/>
      <c r="H74" s="18">
        <v>68</v>
      </c>
      <c r="I74" s="87"/>
      <c r="J74" s="22"/>
    </row>
    <row r="75" spans="4:21" ht="20.25">
      <c r="D75" s="18">
        <v>69</v>
      </c>
      <c r="E75" s="81"/>
      <c r="F75" s="22"/>
      <c r="H75" s="18">
        <v>69</v>
      </c>
      <c r="I75" s="87"/>
      <c r="J75" s="22"/>
    </row>
    <row r="76" spans="4:21" ht="21" thickBot="1">
      <c r="D76" s="20">
        <v>70</v>
      </c>
      <c r="E76" s="84"/>
      <c r="F76" s="73"/>
      <c r="H76" s="20">
        <v>70</v>
      </c>
      <c r="I76" s="90"/>
      <c r="J76" s="73"/>
    </row>
    <row r="78" spans="4:21" ht="25.5">
      <c r="M78" s="199" t="s">
        <v>68</v>
      </c>
      <c r="N78" s="199"/>
      <c r="O78" s="199"/>
      <c r="P78" s="199"/>
      <c r="Q78" s="199"/>
      <c r="R78" s="199"/>
      <c r="S78" s="199"/>
      <c r="T78" s="199"/>
      <c r="U78" s="199"/>
    </row>
    <row r="79" spans="4:21" ht="25.5">
      <c r="M79" s="199" t="s">
        <v>69</v>
      </c>
      <c r="N79" s="199"/>
      <c r="O79" s="199"/>
      <c r="P79" s="199"/>
      <c r="Q79" s="199"/>
      <c r="R79" s="199"/>
      <c r="S79" s="199"/>
      <c r="T79" s="199"/>
      <c r="U79" s="199"/>
    </row>
    <row r="80" spans="4:21" ht="25.5">
      <c r="M80" s="199" t="s">
        <v>70</v>
      </c>
      <c r="N80" s="199"/>
      <c r="O80" s="199"/>
      <c r="P80" s="199"/>
      <c r="Q80" s="199"/>
      <c r="R80" s="199"/>
      <c r="S80" s="199"/>
      <c r="T80" s="199"/>
      <c r="U80" s="199"/>
    </row>
    <row r="81" spans="13:21" ht="25.5">
      <c r="M81" s="199" t="s">
        <v>72</v>
      </c>
      <c r="N81" s="199"/>
      <c r="O81" s="199"/>
      <c r="P81" s="199"/>
      <c r="Q81" s="199"/>
      <c r="R81" s="199"/>
      <c r="S81" s="199"/>
      <c r="T81" s="199"/>
      <c r="U81" s="199"/>
    </row>
    <row r="82" spans="13:21" ht="25.5">
      <c r="M82" s="199" t="s">
        <v>73</v>
      </c>
      <c r="N82" s="199"/>
      <c r="O82" s="199"/>
      <c r="P82" s="199"/>
      <c r="Q82" s="199"/>
      <c r="R82" s="199"/>
      <c r="S82" s="199"/>
      <c r="T82" s="199"/>
      <c r="U82" s="199"/>
    </row>
    <row r="83" spans="13:21" ht="25.5">
      <c r="M83" s="199" t="s">
        <v>71</v>
      </c>
      <c r="N83" s="199"/>
      <c r="O83" s="199"/>
      <c r="P83" s="199"/>
      <c r="Q83" s="199"/>
      <c r="R83" s="199"/>
      <c r="S83" s="199"/>
      <c r="T83" s="199"/>
      <c r="U83" s="199"/>
    </row>
  </sheetData>
  <sheetProtection sheet="1" objects="1" scenarios="1"/>
  <sortState ref="M7:N24">
    <sortCondition descending="1" ref="N7:N24"/>
  </sortState>
  <mergeCells count="10">
    <mergeCell ref="M80:U80"/>
    <mergeCell ref="M81:U81"/>
    <mergeCell ref="M82:U82"/>
    <mergeCell ref="M83:U83"/>
    <mergeCell ref="T13:AB13"/>
    <mergeCell ref="D5:F5"/>
    <mergeCell ref="H5:J5"/>
    <mergeCell ref="L5:N5"/>
    <mergeCell ref="M78:U78"/>
    <mergeCell ref="M79:U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70C0"/>
  </sheetPr>
  <dimension ref="A1:AN43"/>
  <sheetViews>
    <sheetView zoomScale="70" zoomScaleNormal="70" workbookViewId="0">
      <selection activeCell="AL14" sqref="AL14"/>
    </sheetView>
  </sheetViews>
  <sheetFormatPr defaultColWidth="9.140625" defaultRowHeight="18.75"/>
  <cols>
    <col min="1" max="3" width="9.140625" style="9"/>
    <col min="4" max="4" width="4" style="9" bestFit="1" customWidth="1"/>
    <col min="5" max="5" width="25" style="9" customWidth="1"/>
    <col min="6" max="15" width="6.7109375" style="9" customWidth="1"/>
    <col min="16" max="16" width="7" style="9" customWidth="1"/>
    <col min="17" max="17" width="7.7109375" style="9" customWidth="1"/>
    <col min="18" max="18" width="8" style="9" customWidth="1"/>
    <col min="19" max="19" width="11.42578125" style="9" customWidth="1"/>
    <col min="20" max="20" width="9.5703125" style="9" customWidth="1"/>
    <col min="21" max="21" width="9.140625" style="11"/>
    <col min="22" max="22" width="9.140625" style="153"/>
    <col min="23" max="23" width="9.140625" style="66"/>
    <col min="24" max="28" width="15.42578125" style="66" bestFit="1" customWidth="1"/>
    <col min="29" max="31" width="9.140625" style="66"/>
    <col min="32" max="16384" width="9.140625" style="9"/>
  </cols>
  <sheetData>
    <row r="1" spans="1:40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40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40" ht="23.25" thickBot="1">
      <c r="C3" s="11"/>
      <c r="D3" s="205" t="s">
        <v>12</v>
      </c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06"/>
      <c r="P3" s="205"/>
      <c r="Q3" s="205"/>
      <c r="R3" s="205"/>
      <c r="S3" s="205"/>
      <c r="T3" s="205"/>
    </row>
    <row r="4" spans="1:40" ht="19.5" thickBot="1">
      <c r="C4" s="11"/>
      <c r="D4" s="5" t="s">
        <v>0</v>
      </c>
      <c r="E4" s="59" t="s">
        <v>6</v>
      </c>
      <c r="F4" s="207">
        <v>1</v>
      </c>
      <c r="G4" s="208"/>
      <c r="H4" s="207">
        <v>2</v>
      </c>
      <c r="I4" s="209"/>
      <c r="J4" s="207">
        <v>3</v>
      </c>
      <c r="K4" s="209"/>
      <c r="L4" s="207">
        <v>4</v>
      </c>
      <c r="M4" s="208"/>
      <c r="N4" s="210">
        <v>5</v>
      </c>
      <c r="O4" s="211"/>
      <c r="P4" s="10" t="s">
        <v>7</v>
      </c>
      <c r="Q4" s="210" t="s">
        <v>9</v>
      </c>
      <c r="R4" s="211"/>
      <c r="S4" s="3" t="s">
        <v>59</v>
      </c>
      <c r="T4" s="3" t="s">
        <v>8</v>
      </c>
    </row>
    <row r="5" spans="1:40" ht="40.5" customHeight="1" thickBot="1">
      <c r="C5" s="11"/>
      <c r="D5" s="3">
        <v>1</v>
      </c>
      <c r="E5" s="113" t="str">
        <f>Участники!M7</f>
        <v>Попов Михаил / Фокина Алла</v>
      </c>
      <c r="F5" s="203"/>
      <c r="G5" s="204"/>
      <c r="H5" s="106">
        <f>'Расписание игр Этапа 1'!G20</f>
        <v>4</v>
      </c>
      <c r="I5" s="107">
        <f>'Расписание игр Этапа 1'!H20</f>
        <v>6</v>
      </c>
      <c r="J5" s="106">
        <f>'Расписание игр Этапа 1'!G17</f>
        <v>9</v>
      </c>
      <c r="K5" s="120">
        <f>'Расписание игр Этапа 1'!H17</f>
        <v>5</v>
      </c>
      <c r="L5" s="106">
        <f>'Расписание игр Этапа 1'!G14</f>
        <v>8</v>
      </c>
      <c r="M5" s="120">
        <f>'Расписание игр Этапа 1'!H14</f>
        <v>7</v>
      </c>
      <c r="N5" s="106">
        <f>'Расписание игр Этапа 1'!G11</f>
        <v>9</v>
      </c>
      <c r="O5" s="107">
        <f>'Расписание игр Этапа 1'!H11</f>
        <v>3</v>
      </c>
      <c r="P5" s="61">
        <f>SUM(IF((H5-I5)&gt;0,1,0),IF((J5-K5)&gt;0,1,0),IF((L5-M5)&gt;0,1,0),IF((N5-O5)&gt;0,1,0))</f>
        <v>3</v>
      </c>
      <c r="Q5" s="123">
        <f>SUM(H5,J5,L5,N5)</f>
        <v>30</v>
      </c>
      <c r="R5" s="124">
        <f>SUM(I5,K5,M5,O5)</f>
        <v>21</v>
      </c>
      <c r="S5" s="62"/>
      <c r="T5" s="6">
        <f>5-AE5</f>
        <v>2</v>
      </c>
      <c r="X5" s="66">
        <f>SUM(IF((P5-P6)&gt;0,1,0),IF((P5-P7)&gt;0,1,0),IF((P5-P8)&gt;0,1,0),IF((P5-P9)&gt;0,1,0))</f>
        <v>3</v>
      </c>
      <c r="Z5" s="66">
        <f>IF($X$6-X5=0,(IF($S$6-S5&lt;0,$X$6-1,$X$6)),$X$6)</f>
        <v>4</v>
      </c>
      <c r="AA5" s="66">
        <f>IF($X$7-X5=0,(IF($S$7-S5&lt;0,$X$7-1,$X$7)),$X$7)</f>
        <v>0</v>
      </c>
      <c r="AB5" s="66">
        <f>IF($X$8-X5=0,(IF($S$8-S5&lt;0,$X$8-1,$X$8)),$X$8)</f>
        <v>1</v>
      </c>
      <c r="AC5" s="66">
        <f>IF($X$9-X5=0,(IF($S$9-S5&lt;0,$X$9-1,$X$9)),$X$9)</f>
        <v>2</v>
      </c>
      <c r="AE5" s="66">
        <f>SUM(IF((Y10-Z10)&gt;0,1,0),IF((Y10-AA10)&gt;0,1,0),IF((Y10-AB10)&gt;0,1,0),IF((Y10-AC10)&gt;0,1,0))</f>
        <v>3</v>
      </c>
    </row>
    <row r="6" spans="1:40" ht="40.5" customHeight="1" thickBot="1">
      <c r="C6" s="11"/>
      <c r="D6" s="3">
        <v>2</v>
      </c>
      <c r="E6" s="113" t="str">
        <f>Участники!M14</f>
        <v>Домарев Андрей / Сизова Дарья</v>
      </c>
      <c r="F6" s="114">
        <f>I5</f>
        <v>6</v>
      </c>
      <c r="G6" s="115">
        <f>H5</f>
        <v>4</v>
      </c>
      <c r="H6" s="203"/>
      <c r="I6" s="204"/>
      <c r="J6" s="106">
        <f>'Расписание игр Этапа 1'!G12</f>
        <v>9</v>
      </c>
      <c r="K6" s="120">
        <f>'Расписание игр Этапа 1'!H12</f>
        <v>3</v>
      </c>
      <c r="L6" s="106">
        <f>'Расписание игр Этапа 1'!G8</f>
        <v>9</v>
      </c>
      <c r="M6" s="120">
        <f>'Расписание игр Этапа 1'!H8</f>
        <v>3</v>
      </c>
      <c r="N6" s="106">
        <f>'Расписание игр Этапа 1'!G15</f>
        <v>9</v>
      </c>
      <c r="O6" s="107">
        <f>'Расписание игр Этапа 1'!H15</f>
        <v>1</v>
      </c>
      <c r="P6" s="61">
        <f>SUM(IF((F6-G6)&gt;0,1,0),IF((J6-K6)&gt;0,1,0),IF((L6-M6)&gt;0,1,0),IF((N6-O6)&gt;0,1,0))</f>
        <v>4</v>
      </c>
      <c r="Q6" s="123">
        <f>SUM(F6,J6,L6,N6)</f>
        <v>33</v>
      </c>
      <c r="R6" s="124">
        <f>SUM(G6,K6,M6,O6)</f>
        <v>11</v>
      </c>
      <c r="S6" s="62"/>
      <c r="T6" s="7">
        <f>5-AE6</f>
        <v>1</v>
      </c>
      <c r="X6" s="66">
        <f>SUM(IF((P6-P7)&gt;0,1,0),IF((P6-P8)&gt;0,1,0),IF((P6-P9)&gt;0,1,0),IF((P6-P5)&gt;0,1,0))</f>
        <v>4</v>
      </c>
      <c r="Y6" s="66">
        <f>IF($X$5-X6=0,(IF($S$5-S6&lt;0,$X$5-1,$X$5)),$X$5)</f>
        <v>3</v>
      </c>
      <c r="AA6" s="66">
        <f t="shared" ref="AA6:AA9" si="0">IF($X$7-X6=0,(IF($S$7-S6&lt;0,$X$7-1,$X$7)),$X$7)</f>
        <v>0</v>
      </c>
      <c r="AB6" s="66">
        <f t="shared" ref="AB6:AB9" si="1">IF($X$8-X6=0,(IF($S$8-S6&lt;0,$X$8-1,$X$8)),$X$8)</f>
        <v>1</v>
      </c>
      <c r="AC6" s="66">
        <f t="shared" ref="AC6:AC8" si="2">IF($X$9-X6=0,(IF($S$9-S6&lt;0,$X$9-1,$X$9)),$X$9)</f>
        <v>2</v>
      </c>
      <c r="AE6" s="66">
        <f>SUM(IF((Z10-Y10)&gt;0,1,0),IF((Z10-AA10)&gt;0,1,0),IF((Z10-AB10)&gt;0,1,0),IF((Z10-AC10)&gt;0,1,0))</f>
        <v>4</v>
      </c>
    </row>
    <row r="7" spans="1:40" ht="40.5" customHeight="1" thickBot="1">
      <c r="A7" s="191"/>
      <c r="C7" s="11"/>
      <c r="D7" s="3">
        <v>3</v>
      </c>
      <c r="E7" s="113" t="str">
        <f>Участники!M15</f>
        <v>Ли Александр / Ширяева Елена</v>
      </c>
      <c r="F7" s="106">
        <f>K5</f>
        <v>5</v>
      </c>
      <c r="G7" s="115">
        <f>J5</f>
        <v>9</v>
      </c>
      <c r="H7" s="114">
        <f>K6</f>
        <v>3</v>
      </c>
      <c r="I7" s="115">
        <f>J6</f>
        <v>9</v>
      </c>
      <c r="J7" s="203"/>
      <c r="K7" s="204"/>
      <c r="L7" s="106">
        <f>'Расписание игр Этапа 1'!G21</f>
        <v>8</v>
      </c>
      <c r="M7" s="120">
        <f>'Расписание игр Этапа 1'!H21</f>
        <v>9</v>
      </c>
      <c r="N7" s="106">
        <f>'Расписание игр Этапа 1'!G9</f>
        <v>0</v>
      </c>
      <c r="O7" s="107">
        <f>'Расписание игр Этапа 1'!H9</f>
        <v>9</v>
      </c>
      <c r="P7" s="61">
        <f>SUM(IF((F7-G7)&gt;0,1,0),IF((H7-I7)&gt;0,1,0),IF((L7-M7)&gt;0,1,0),IF((N7-O7)&gt;0,1,0))</f>
        <v>0</v>
      </c>
      <c r="Q7" s="123">
        <f>SUM(H7,F7,L7,N7)</f>
        <v>16</v>
      </c>
      <c r="R7" s="124">
        <f>SUM(I7,G7,M7,O7)</f>
        <v>36</v>
      </c>
      <c r="S7" s="62"/>
      <c r="T7" s="7">
        <f>5-AE7</f>
        <v>5</v>
      </c>
      <c r="X7" s="66">
        <f>SUM(IF((P7-P8)&gt;0,1,0),IF((P7-P9)&gt;0,1,0),IF((P7-P5)&gt;0,1,0),IF((P7-P6)&gt;0,1,0))</f>
        <v>0</v>
      </c>
      <c r="Y7" s="66">
        <f t="shared" ref="Y7:Y9" si="3">IF($X$5-X7=0,(IF($S$5-S7&lt;0,$X$5-1,$X$5)),$X$5)</f>
        <v>3</v>
      </c>
      <c r="Z7" s="66">
        <f t="shared" ref="Z7:Z9" si="4">IF($X$6-X7=0,(IF($S$6-S7&lt;0,$X$6-1,$X$6)),$X$6)</f>
        <v>4</v>
      </c>
      <c r="AB7" s="66">
        <f t="shared" si="1"/>
        <v>1</v>
      </c>
      <c r="AC7" s="66">
        <f t="shared" si="2"/>
        <v>2</v>
      </c>
      <c r="AE7" s="66">
        <f>SUM(IF((AA10-Y10)&gt;0,1,0),IF((AA10-Z10)&gt;0,1,0),IF((AA10-AB10)&gt;0,1,0),IF((AA10-AC10)&gt;0,1,0))</f>
        <v>0</v>
      </c>
      <c r="AH7" s="191"/>
      <c r="AI7" s="201" t="s">
        <v>270</v>
      </c>
      <c r="AJ7" s="201"/>
      <c r="AK7" s="201"/>
      <c r="AL7" s="201"/>
      <c r="AM7" s="201"/>
      <c r="AN7" s="201"/>
    </row>
    <row r="8" spans="1:40" ht="40.5" customHeight="1" thickBot="1">
      <c r="C8" s="11"/>
      <c r="D8" s="3">
        <v>4</v>
      </c>
      <c r="E8" s="113" t="str">
        <f>Участники!M22</f>
        <v>Еремеев Евгений / Алексеева Елена</v>
      </c>
      <c r="F8" s="114">
        <f>M5</f>
        <v>7</v>
      </c>
      <c r="G8" s="115">
        <f>L5</f>
        <v>8</v>
      </c>
      <c r="H8" s="114">
        <f>M6</f>
        <v>3</v>
      </c>
      <c r="I8" s="115">
        <f>L6</f>
        <v>9</v>
      </c>
      <c r="J8" s="114">
        <f>M7</f>
        <v>9</v>
      </c>
      <c r="K8" s="115">
        <f>L7</f>
        <v>8</v>
      </c>
      <c r="L8" s="203"/>
      <c r="M8" s="204"/>
      <c r="N8" s="116">
        <f>'Расписание игр Этапа 1'!G18</f>
        <v>8</v>
      </c>
      <c r="O8" s="117">
        <f>'Расписание игр Этапа 1'!H18</f>
        <v>9</v>
      </c>
      <c r="P8" s="61">
        <f>SUM(IF((F8-G8)&gt;0,1,0),IF((H8-I8)&gt;0,1,0),IF((J8-K8)&gt;0,1,0),IF((N8-O8)&gt;0,1,0))</f>
        <v>1</v>
      </c>
      <c r="Q8" s="123">
        <f>SUM(H8,J8,F8,N8)</f>
        <v>27</v>
      </c>
      <c r="R8" s="124">
        <f>SUM(I8,K8,G8,O8)</f>
        <v>34</v>
      </c>
      <c r="S8" s="63"/>
      <c r="T8" s="58">
        <f>5-AE8</f>
        <v>4</v>
      </c>
      <c r="X8" s="66">
        <f>SUM(IF((P8-P9)&gt;0,1,0),IF((P8-P5)&gt;0,1,0),IF((P8-P6)&gt;0,1,0),IF((P8-P7)&gt;0,1,0))</f>
        <v>1</v>
      </c>
      <c r="Y8" s="66">
        <f t="shared" si="3"/>
        <v>3</v>
      </c>
      <c r="Z8" s="66">
        <f t="shared" si="4"/>
        <v>4</v>
      </c>
      <c r="AA8" s="66">
        <f t="shared" si="0"/>
        <v>0</v>
      </c>
      <c r="AC8" s="66">
        <f t="shared" si="2"/>
        <v>2</v>
      </c>
      <c r="AE8" s="66">
        <f>SUM(IF((AB10-Y10)&gt;0,1,0),IF((AB10-Z10)&gt;0,1,0),IF((AB10-AA10)&gt;0,1,0),IF((AB10-AC10)&gt;0,1,0))</f>
        <v>1</v>
      </c>
    </row>
    <row r="9" spans="1:40" ht="40.5" customHeight="1" thickBot="1">
      <c r="C9" s="11"/>
      <c r="D9" s="60">
        <v>5</v>
      </c>
      <c r="E9" s="113" t="str">
        <f>Участники!M23</f>
        <v>Чекулаев Михаил / Берсенева Елизавета</v>
      </c>
      <c r="F9" s="106">
        <f>O5</f>
        <v>3</v>
      </c>
      <c r="G9" s="107">
        <f>N5</f>
        <v>9</v>
      </c>
      <c r="H9" s="106">
        <f>O6</f>
        <v>1</v>
      </c>
      <c r="I9" s="107">
        <f>N6</f>
        <v>9</v>
      </c>
      <c r="J9" s="106">
        <f>O7</f>
        <v>9</v>
      </c>
      <c r="K9" s="107">
        <f>N7</f>
        <v>0</v>
      </c>
      <c r="L9" s="118">
        <f>O8</f>
        <v>9</v>
      </c>
      <c r="M9" s="119">
        <f>N8</f>
        <v>8</v>
      </c>
      <c r="N9" s="203"/>
      <c r="O9" s="204"/>
      <c r="P9" s="4">
        <f>SUM(IF((F9-G9)&gt;0,1,0),IF((H9-I9)&gt;0,1,0),IF((J9-K9)&gt;0,1,0),IF((L9-M9)&gt;0,1,0))</f>
        <v>2</v>
      </c>
      <c r="Q9" s="123">
        <f>SUM(H9,J9,L9,F9)</f>
        <v>22</v>
      </c>
      <c r="R9" s="124">
        <f>SUM(I9,K9,M9,G9)</f>
        <v>26</v>
      </c>
      <c r="S9" s="63"/>
      <c r="T9" s="8">
        <f>5-AE9</f>
        <v>3</v>
      </c>
      <c r="X9" s="66">
        <f>SUM(IF((P9-P5)&gt;0,1,0),IF((P9-P6)&gt;0,1,0),IF((P9-P7)&gt;0,1,0),IF((P9-P8)&gt;0,1,0))</f>
        <v>2</v>
      </c>
      <c r="Y9" s="66">
        <f t="shared" si="3"/>
        <v>3</v>
      </c>
      <c r="Z9" s="66">
        <f t="shared" si="4"/>
        <v>4</v>
      </c>
      <c r="AA9" s="66">
        <f t="shared" si="0"/>
        <v>0</v>
      </c>
      <c r="AB9" s="66">
        <f t="shared" si="1"/>
        <v>1</v>
      </c>
      <c r="AE9" s="66">
        <f>SUM(IF((AC10-Y10)&gt;0,1,0),IF((AC10-Z10)&gt;0,1,0),IF((AC10-AA10)&gt;0,1,0),IF((AC10-AB10)&gt;0,1,0))</f>
        <v>2</v>
      </c>
      <c r="AH9" s="192"/>
      <c r="AI9" s="202" t="s">
        <v>271</v>
      </c>
      <c r="AJ9" s="202"/>
      <c r="AK9" s="202"/>
      <c r="AL9" s="202"/>
      <c r="AM9" s="202"/>
      <c r="AN9" s="202"/>
    </row>
    <row r="10" spans="1:40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Y10" s="66">
        <f>SUM(Y6:Y9)</f>
        <v>12</v>
      </c>
      <c r="Z10" s="66">
        <f>SUM(Z5,Z7:Z9)</f>
        <v>16</v>
      </c>
      <c r="AA10" s="66">
        <f>SUM(AA5:AA6,AA8:AA9)</f>
        <v>0</v>
      </c>
      <c r="AB10" s="66">
        <f>SUM(AB5:AB7,AB9)</f>
        <v>4</v>
      </c>
      <c r="AC10" s="66">
        <f>SUM(AC5:AC8)</f>
        <v>8</v>
      </c>
    </row>
    <row r="11" spans="1:40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40" ht="23.25" thickBot="1">
      <c r="C12" s="11"/>
      <c r="D12" s="205" t="s">
        <v>13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6"/>
      <c r="O12" s="206"/>
      <c r="P12" s="205"/>
      <c r="Q12" s="205"/>
      <c r="R12" s="205"/>
      <c r="S12" s="205"/>
      <c r="T12" s="205"/>
    </row>
    <row r="13" spans="1:40" ht="19.5" thickBot="1">
      <c r="C13" s="11"/>
      <c r="D13" s="5" t="s">
        <v>0</v>
      </c>
      <c r="E13" s="59" t="s">
        <v>6</v>
      </c>
      <c r="F13" s="207">
        <v>1</v>
      </c>
      <c r="G13" s="208"/>
      <c r="H13" s="207">
        <v>2</v>
      </c>
      <c r="I13" s="209"/>
      <c r="J13" s="207">
        <v>3</v>
      </c>
      <c r="K13" s="209"/>
      <c r="L13" s="207">
        <v>4</v>
      </c>
      <c r="M13" s="208"/>
      <c r="N13" s="210">
        <v>5</v>
      </c>
      <c r="O13" s="211"/>
      <c r="P13" s="55" t="s">
        <v>7</v>
      </c>
      <c r="Q13" s="210" t="s">
        <v>9</v>
      </c>
      <c r="R13" s="211"/>
      <c r="S13" s="3" t="s">
        <v>59</v>
      </c>
      <c r="T13" s="3" t="s">
        <v>8</v>
      </c>
    </row>
    <row r="14" spans="1:40" ht="40.5" customHeight="1" thickBot="1">
      <c r="C14" s="11"/>
      <c r="D14" s="3">
        <v>1</v>
      </c>
      <c r="E14" s="113" t="str">
        <f>Участники!M8</f>
        <v>Бурдо Сергей / Шпиленок Лидия</v>
      </c>
      <c r="F14" s="203"/>
      <c r="G14" s="204"/>
      <c r="H14" s="106">
        <f>'Расписание игр Этапа 1'!G42</f>
        <v>3</v>
      </c>
      <c r="I14" s="107">
        <f>'Расписание игр Этапа 1'!H42</f>
        <v>9</v>
      </c>
      <c r="J14" s="106">
        <f>'Расписание игр Этапа 1'!G39</f>
        <v>7</v>
      </c>
      <c r="K14" s="107">
        <f>'Расписание игр Этапа 1'!H39</f>
        <v>4</v>
      </c>
      <c r="L14" s="106">
        <f>'Расписание игр Этапа 1'!G36</f>
        <v>9</v>
      </c>
      <c r="M14" s="107">
        <f>'Расписание игр Этапа 1'!H36</f>
        <v>7</v>
      </c>
      <c r="N14" s="106">
        <f>'Расписание игр Этапа 1'!G33</f>
        <v>9</v>
      </c>
      <c r="O14" s="107">
        <f>'Расписание игр Этапа 1'!H33</f>
        <v>5</v>
      </c>
      <c r="P14" s="61">
        <f>SUM(IF((H14-I14)&gt;0,1,0),IF((J14-K14)&gt;0,1,0),IF((L14-M14)&gt;0,1,0),IF((N14-O14)&gt;0,1,0))</f>
        <v>3</v>
      </c>
      <c r="Q14" s="123">
        <f>SUM(H14,J14,L14,N14)</f>
        <v>28</v>
      </c>
      <c r="R14" s="124">
        <f>SUM(I14,K14,M14,O14)</f>
        <v>25</v>
      </c>
      <c r="S14" s="62"/>
      <c r="T14" s="6">
        <f>5-AE14</f>
        <v>2</v>
      </c>
      <c r="X14" s="66">
        <f>SUM(IF((P14-P15)&gt;0,1,0),IF((P14-P16)&gt;0,1,0),IF((P14-P17)&gt;0,1,0),IF((P14-P18)&gt;0,1,0))</f>
        <v>3</v>
      </c>
      <c r="Z14" s="66">
        <f>IF($X$15-X14=0,(IF($S$15-S14&lt;0,$X$15-1,$X$15)),$X$15)</f>
        <v>4</v>
      </c>
      <c r="AA14" s="66">
        <f>IF($X$16-X14=0,(IF($S$16-S14&lt;0,$X$16-1,$X$16)),$X$16)</f>
        <v>2</v>
      </c>
      <c r="AB14" s="66">
        <f>IF($X$17-X14=0,(IF($S$17-S14&lt;0,$X$17-1,$X$17)),$X$17)</f>
        <v>1</v>
      </c>
      <c r="AC14" s="66">
        <f>IF($X$18-X14=0,(IF($S$18-S14&lt;0,$X$18-1,$X$18)),$X$18)</f>
        <v>0</v>
      </c>
      <c r="AE14" s="66">
        <f>SUM(IF((Y19-Z19)&gt;0,1,0),IF((Y19-AA19)&gt;0,1,0),IF((Y19-AB19)&gt;0,1,0),IF((Y19-AC19)&gt;0,1,0))</f>
        <v>3</v>
      </c>
    </row>
    <row r="15" spans="1:40" ht="40.5" customHeight="1" thickBot="1">
      <c r="C15" s="11"/>
      <c r="D15" s="3">
        <v>2</v>
      </c>
      <c r="E15" s="113" t="str">
        <f>Участники!M13</f>
        <v>Стыкалин Владимир / Шабанова Светлана</v>
      </c>
      <c r="F15" s="114">
        <f>I14</f>
        <v>9</v>
      </c>
      <c r="G15" s="115">
        <f>H14</f>
        <v>3</v>
      </c>
      <c r="H15" s="203"/>
      <c r="I15" s="204"/>
      <c r="J15" s="106">
        <f>'Расписание игр Этапа 1'!G34</f>
        <v>9</v>
      </c>
      <c r="K15" s="107">
        <f>'Расписание игр Этапа 1'!H34</f>
        <v>3</v>
      </c>
      <c r="L15" s="106">
        <f>'Расписание игр Этапа 1'!G30</f>
        <v>9</v>
      </c>
      <c r="M15" s="107">
        <f>'Расписание игр Этапа 1'!H30</f>
        <v>0</v>
      </c>
      <c r="N15" s="106">
        <f>'Расписание игр Этапа 1'!G37</f>
        <v>9</v>
      </c>
      <c r="O15" s="107">
        <f>'Расписание игр Этапа 1'!H37</f>
        <v>1</v>
      </c>
      <c r="P15" s="61">
        <f>SUM(IF((F15-G15)&gt;0,1,0),IF((J15-K15)&gt;0,1,0),IF((L15-M15)&gt;0,1,0),IF((N15-O15)&gt;0,1,0))</f>
        <v>4</v>
      </c>
      <c r="Q15" s="123">
        <f>SUM(F15,J15,L15,N15)</f>
        <v>36</v>
      </c>
      <c r="R15" s="124">
        <f>SUM(G15,K15,M15,O15)</f>
        <v>7</v>
      </c>
      <c r="S15" s="62"/>
      <c r="T15" s="7">
        <f>5-AE15</f>
        <v>1</v>
      </c>
      <c r="X15" s="66">
        <f>SUM(IF((P15-P16)&gt;0,1,0),IF((P15-P17)&gt;0,1,0),IF((P15-P18)&gt;0,1,0),IF((P15-P14)&gt;0,1,0))</f>
        <v>4</v>
      </c>
      <c r="Y15" s="66">
        <f>IF($X$14-X15=0,(IF($S$14-S15&lt;0,$X$14-1,$X$14)),$X$14)</f>
        <v>3</v>
      </c>
      <c r="AA15" s="66">
        <f t="shared" ref="AA15:AA18" si="5">IF($X$16-X15=0,(IF($S$16-S15&lt;0,$X$16-1,$X$16)),$X$16)</f>
        <v>2</v>
      </c>
      <c r="AB15" s="66">
        <f t="shared" ref="AB15:AB18" si="6">IF($X$17-X15=0,(IF($S$17-S15&lt;0,$X$17-1,$X$17)),$X$17)</f>
        <v>1</v>
      </c>
      <c r="AC15" s="66">
        <f t="shared" ref="AC15:AC17" si="7">IF($X$18-X15=0,(IF($S$18-S15&lt;0,$X$18-1,$X$18)),$X$18)</f>
        <v>0</v>
      </c>
      <c r="AE15" s="66">
        <f>SUM(IF((Z19-Y19)&gt;0,1,0),IF((Z19-AA19)&gt;0,1,0),IF((Z19-AB19)&gt;0,1,0),IF((Z19-AC19)&gt;0,1,0))</f>
        <v>4</v>
      </c>
    </row>
    <row r="16" spans="1:40" ht="57" thickBot="1">
      <c r="C16" s="11"/>
      <c r="D16" s="3">
        <v>3</v>
      </c>
      <c r="E16" s="113" t="str">
        <f>Участники!M16</f>
        <v>Фахретдинов Фоат / Фахретдинова Джамиля*</v>
      </c>
      <c r="F16" s="106">
        <f>K14</f>
        <v>4</v>
      </c>
      <c r="G16" s="115">
        <f>J14</f>
        <v>7</v>
      </c>
      <c r="H16" s="114">
        <f>K15</f>
        <v>3</v>
      </c>
      <c r="I16" s="115">
        <f>J15</f>
        <v>9</v>
      </c>
      <c r="J16" s="203"/>
      <c r="K16" s="204"/>
      <c r="L16" s="106">
        <f>'Расписание игр Этапа 1'!G43</f>
        <v>9</v>
      </c>
      <c r="M16" s="107">
        <f>'Расписание игр Этапа 1'!H43</f>
        <v>5</v>
      </c>
      <c r="N16" s="106">
        <f>'Расписание игр Этапа 1'!G31</f>
        <v>9</v>
      </c>
      <c r="O16" s="107">
        <f>'Расписание игр Этапа 1'!H31</f>
        <v>0</v>
      </c>
      <c r="P16" s="61">
        <f>SUM(IF((F16-G16)&gt;0,1,0),IF((H16-I16)&gt;0,1,0),IF((L16-M16)&gt;0,1,0),IF((N16-O16)&gt;0,1,0))</f>
        <v>2</v>
      </c>
      <c r="Q16" s="123">
        <f>SUM(H16,F16,L16,N16)</f>
        <v>25</v>
      </c>
      <c r="R16" s="124">
        <f>SUM(I16,G16,M16,O16)</f>
        <v>21</v>
      </c>
      <c r="S16" s="62"/>
      <c r="T16" s="7">
        <f>5-AE16</f>
        <v>3</v>
      </c>
      <c r="X16" s="66">
        <f>SUM(IF((P16-P17)&gt;0,1,0),IF((P16-P18)&gt;0,1,0),IF((P16-P14)&gt;0,1,0),IF((P16-P15)&gt;0,1,0))</f>
        <v>2</v>
      </c>
      <c r="Y16" s="66">
        <f t="shared" ref="Y16:Y18" si="8">IF($X$14-X16=0,(IF($S$14-S16&lt;0,$X$14-1,$X$14)),$X$14)</f>
        <v>3</v>
      </c>
      <c r="Z16" s="66">
        <f t="shared" ref="Z16:Z18" si="9">IF($X$15-X16=0,(IF($S$15-S16&lt;0,$X$15-1,$X$15)),$X$15)</f>
        <v>4</v>
      </c>
      <c r="AB16" s="66">
        <f t="shared" si="6"/>
        <v>1</v>
      </c>
      <c r="AC16" s="66">
        <f t="shared" si="7"/>
        <v>0</v>
      </c>
      <c r="AE16" s="66">
        <f>SUM(IF((AA19-Y19)&gt;0,1,0),IF((AA19-Z19)&gt;0,1,0),IF((AA19-AB19)&gt;0,1,0),IF((AA19-AC19)&gt;0,1,0))</f>
        <v>2</v>
      </c>
    </row>
    <row r="17" spans="1:31" ht="40.5" customHeight="1" thickBot="1">
      <c r="C17" s="11"/>
      <c r="D17" s="3">
        <v>4</v>
      </c>
      <c r="E17" s="113" t="str">
        <f>Участники!M21</f>
        <v>Беликов Алексей / Егорова Мария</v>
      </c>
      <c r="F17" s="114">
        <f>M14</f>
        <v>7</v>
      </c>
      <c r="G17" s="115">
        <f>L14</f>
        <v>9</v>
      </c>
      <c r="H17" s="114">
        <f>M15</f>
        <v>0</v>
      </c>
      <c r="I17" s="115">
        <f>L15</f>
        <v>9</v>
      </c>
      <c r="J17" s="114">
        <f>M16</f>
        <v>5</v>
      </c>
      <c r="K17" s="115">
        <f>L16</f>
        <v>9</v>
      </c>
      <c r="L17" s="203"/>
      <c r="M17" s="204"/>
      <c r="N17" s="116">
        <f>'Расписание игр Этапа 1'!G40</f>
        <v>8</v>
      </c>
      <c r="O17" s="117">
        <f>'Расписание игр Этапа 1'!H40</f>
        <v>5</v>
      </c>
      <c r="P17" s="61">
        <f>SUM(IF((F17-G17)&gt;0,1,0),IF((H17-I17)&gt;0,1,0),IF((J17-K17)&gt;0,1,0),IF((N17-O17)&gt;0,1,0))</f>
        <v>1</v>
      </c>
      <c r="Q17" s="123">
        <f>SUM(H17,J17,F17,N17)</f>
        <v>20</v>
      </c>
      <c r="R17" s="124">
        <f>SUM(I17,K17,G17,O17)</f>
        <v>32</v>
      </c>
      <c r="S17" s="63"/>
      <c r="T17" s="58">
        <f>5-AE17</f>
        <v>4</v>
      </c>
      <c r="X17" s="66">
        <f>SUM(IF((P17-P18)&gt;0,1,0),IF((P17-P14)&gt;0,1,0),IF((P17-P15)&gt;0,1,0),IF((P17-P16)&gt;0,1,0))</f>
        <v>1</v>
      </c>
      <c r="Y17" s="66">
        <f t="shared" si="8"/>
        <v>3</v>
      </c>
      <c r="Z17" s="66">
        <f t="shared" si="9"/>
        <v>4</v>
      </c>
      <c r="AA17" s="66">
        <f t="shared" si="5"/>
        <v>2</v>
      </c>
      <c r="AC17" s="66">
        <f t="shared" si="7"/>
        <v>0</v>
      </c>
      <c r="AE17" s="66">
        <f>SUM(IF((AB19-Y19)&gt;0,1,0),IF((AB19-Z19)&gt;0,1,0),IF((AB19-AA19)&gt;0,1,0),IF((AB19-AC19)&gt;0,1,0))</f>
        <v>1</v>
      </c>
    </row>
    <row r="18" spans="1:31" ht="40.5" customHeight="1" thickBot="1">
      <c r="A18" s="191"/>
      <c r="C18" s="11"/>
      <c r="D18" s="60">
        <v>5</v>
      </c>
      <c r="E18" s="113" t="str">
        <f>Участники!M24</f>
        <v>Журавлев Сергей / Симутина Елена</v>
      </c>
      <c r="F18" s="106">
        <f>O14</f>
        <v>5</v>
      </c>
      <c r="G18" s="107">
        <f>N14</f>
        <v>9</v>
      </c>
      <c r="H18" s="106">
        <f>O15</f>
        <v>1</v>
      </c>
      <c r="I18" s="107">
        <f>N15</f>
        <v>9</v>
      </c>
      <c r="J18" s="106">
        <f>O16</f>
        <v>0</v>
      </c>
      <c r="K18" s="107">
        <f>N16</f>
        <v>9</v>
      </c>
      <c r="L18" s="118">
        <f>O17</f>
        <v>5</v>
      </c>
      <c r="M18" s="119">
        <f>N17</f>
        <v>8</v>
      </c>
      <c r="N18" s="203"/>
      <c r="O18" s="204"/>
      <c r="P18" s="4">
        <f>SUM(IF((F18-G18)&gt;0,1,0),IF((H18-I18)&gt;0,1,0),IF((J18-K18)&gt;0,1,0),IF((L18-M18)&gt;0,1,0))</f>
        <v>0</v>
      </c>
      <c r="Q18" s="123">
        <f>SUM(H18,J18,L18,F18)</f>
        <v>11</v>
      </c>
      <c r="R18" s="124">
        <f>SUM(I18,K18,M18,G18)</f>
        <v>35</v>
      </c>
      <c r="S18" s="63"/>
      <c r="T18" s="8">
        <f>5-AE18</f>
        <v>5</v>
      </c>
      <c r="X18" s="66">
        <f>SUM(IF((P18-P14)&gt;0,1,0),IF((P18-P15)&gt;0,1,0),IF((P18-P16)&gt;0,1,0),IF((P18-P17)&gt;0,1,0))</f>
        <v>0</v>
      </c>
      <c r="Y18" s="66">
        <f t="shared" si="8"/>
        <v>3</v>
      </c>
      <c r="Z18" s="66">
        <f t="shared" si="9"/>
        <v>4</v>
      </c>
      <c r="AA18" s="66">
        <f t="shared" si="5"/>
        <v>2</v>
      </c>
      <c r="AB18" s="66">
        <f t="shared" si="6"/>
        <v>1</v>
      </c>
      <c r="AE18" s="66">
        <f>SUM(IF((AC19-Y19)&gt;0,1,0),IF((AC19-Z19)&gt;0,1,0),IF((AC19-AA19)&gt;0,1,0),IF((AC19-AB19)&gt;0,1,0))</f>
        <v>0</v>
      </c>
    </row>
    <row r="19" spans="1:3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Y19" s="66">
        <f>SUM(Y15:Y18)</f>
        <v>12</v>
      </c>
      <c r="Z19" s="66">
        <f>SUM(Z14,Z16:Z18)</f>
        <v>16</v>
      </c>
      <c r="AA19" s="66">
        <f>SUM(AA14:AA15,AA17:AA18)</f>
        <v>8</v>
      </c>
      <c r="AB19" s="66">
        <f>SUM(AB14:AB16,AB18)</f>
        <v>4</v>
      </c>
      <c r="AC19" s="66">
        <f>SUM(AC14:AC17)</f>
        <v>0</v>
      </c>
    </row>
    <row r="20" spans="1:3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31" ht="23.25" thickBot="1">
      <c r="C21" s="11"/>
      <c r="D21" s="205" t="s">
        <v>57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206"/>
      <c r="P21" s="205"/>
      <c r="Q21" s="205"/>
      <c r="R21" s="205"/>
      <c r="S21" s="205"/>
      <c r="T21" s="205"/>
    </row>
    <row r="22" spans="1:31" ht="19.5" thickBot="1">
      <c r="C22" s="11"/>
      <c r="D22" s="5" t="s">
        <v>0</v>
      </c>
      <c r="E22" s="59" t="s">
        <v>6</v>
      </c>
      <c r="F22" s="207">
        <v>1</v>
      </c>
      <c r="G22" s="208"/>
      <c r="H22" s="207">
        <v>2</v>
      </c>
      <c r="I22" s="209"/>
      <c r="J22" s="207">
        <v>3</v>
      </c>
      <c r="K22" s="209"/>
      <c r="L22" s="207">
        <v>4</v>
      </c>
      <c r="M22" s="208"/>
      <c r="N22" s="210">
        <v>5</v>
      </c>
      <c r="O22" s="211"/>
      <c r="P22" s="104" t="s">
        <v>7</v>
      </c>
      <c r="Q22" s="210" t="s">
        <v>9</v>
      </c>
      <c r="R22" s="211"/>
      <c r="S22" s="3" t="s">
        <v>59</v>
      </c>
      <c r="T22" s="3" t="s">
        <v>8</v>
      </c>
    </row>
    <row r="23" spans="1:31" ht="40.5" customHeight="1" thickBot="1">
      <c r="C23" s="11"/>
      <c r="D23" s="3">
        <v>1</v>
      </c>
      <c r="E23" s="113" t="str">
        <f>Участники!M9</f>
        <v>Андреев Андрей / Ширяева Варвара</v>
      </c>
      <c r="F23" s="203"/>
      <c r="G23" s="204"/>
      <c r="H23" s="106">
        <f>'Расписание игр Этапа 1'!G63</f>
        <v>4</v>
      </c>
      <c r="I23" s="107">
        <f>'Расписание игр Этапа 1'!H63</f>
        <v>7</v>
      </c>
      <c r="J23" s="106">
        <f>'Расписание игр Этапа 1'!G60</f>
        <v>9</v>
      </c>
      <c r="K23" s="107">
        <f>'Расписание игр Этапа 1'!H60</f>
        <v>0</v>
      </c>
      <c r="L23" s="106">
        <f>'Расписание игр Этапа 1'!G57</f>
        <v>8</v>
      </c>
      <c r="M23" s="107">
        <f>'Расписание игр Этапа 1'!H57</f>
        <v>6</v>
      </c>
      <c r="N23" s="106">
        <f>'Расписание игр Этапа 1'!G54</f>
        <v>0</v>
      </c>
      <c r="O23" s="107">
        <f>'Расписание игр Этапа 1'!H54</f>
        <v>0</v>
      </c>
      <c r="P23" s="126">
        <f>SUM(IF((H23-I23)&gt;0,1,0),IF((J23-K23)&gt;0,1,0),IF((L23-M23)&gt;0,1,0),IF((N23-O23)&gt;0,1,0))</f>
        <v>2</v>
      </c>
      <c r="Q23" s="123">
        <f>SUM(H23,J23,L23,N23)</f>
        <v>21</v>
      </c>
      <c r="R23" s="124">
        <f>SUM(I23,K23,M23,O23)</f>
        <v>13</v>
      </c>
      <c r="S23" s="62"/>
      <c r="T23" s="6">
        <f>5-AE23</f>
        <v>2</v>
      </c>
      <c r="X23" s="66">
        <f>SUM(IF((P23-P24)&gt;0,1,0),IF((P23-P25)&gt;0,1,0),IF((P23-P26)&gt;0,1,0),IF((P23-P27)&gt;0,1,0))</f>
        <v>3</v>
      </c>
      <c r="Z23" s="66">
        <f>IF($X$24-X23=0,(IF($S$24-S23&lt;0,$X$24-1,$X$24)),$X$24)</f>
        <v>4</v>
      </c>
      <c r="AA23" s="66">
        <f>IF($X$25-X23=0,(IF($S$25-S23&lt;0,$X$25-1,$X$25)),$X$25)</f>
        <v>2</v>
      </c>
      <c r="AB23" s="66">
        <f>IF($X$26-X23=0,(IF($S$26-S23&lt;0,$X$26-1,$X$26)),$X$26)</f>
        <v>0</v>
      </c>
      <c r="AC23" s="66">
        <f>IF($X$27-X23=0,(IF($S$27-S23&lt;0,$X$27-1,$X$27)),$X$27)</f>
        <v>0</v>
      </c>
      <c r="AE23" s="66">
        <f>SUM(IF((Y28-Z28)&gt;0,1,0),IF((Y28-AA28)&gt;0,1,0),IF((Y28-AB28)&gt;0,1,0),IF((Y28-AC28)&gt;0,1,0))</f>
        <v>3</v>
      </c>
    </row>
    <row r="24" spans="1:31" ht="40.5" customHeight="1" thickBot="1">
      <c r="C24" s="11"/>
      <c r="D24" s="3">
        <v>2</v>
      </c>
      <c r="E24" s="113" t="str">
        <f>Участники!M12</f>
        <v>Попов Иван / Гатайло Светлана</v>
      </c>
      <c r="F24" s="114">
        <f>I23</f>
        <v>7</v>
      </c>
      <c r="G24" s="115">
        <f>H23</f>
        <v>4</v>
      </c>
      <c r="H24" s="203"/>
      <c r="I24" s="204"/>
      <c r="J24" s="106">
        <f>'Расписание игр Этапа 1'!G55</f>
        <v>9</v>
      </c>
      <c r="K24" s="107">
        <f>'Расписание игр Этапа 1'!H55</f>
        <v>2</v>
      </c>
      <c r="L24" s="106">
        <f>'Расписание игр Этапа 1'!G51</f>
        <v>9</v>
      </c>
      <c r="M24" s="107">
        <f>'Расписание игр Этапа 1'!H51</f>
        <v>2</v>
      </c>
      <c r="N24" s="106">
        <f>'Расписание игр Этапа 1'!G58</f>
        <v>0</v>
      </c>
      <c r="O24" s="107">
        <f>'Расписание игр Этапа 1'!H58</f>
        <v>0</v>
      </c>
      <c r="P24" s="126">
        <f>SUM(IF((F24-G24)&gt;0,1,0),IF((J24-K24)&gt;0,1,0),IF((L24-M24)&gt;0,1,0),IF((N24-O24)&gt;0,1,0))</f>
        <v>3</v>
      </c>
      <c r="Q24" s="123">
        <f>SUM(F24,J24,L24,N24)</f>
        <v>25</v>
      </c>
      <c r="R24" s="124">
        <f>SUM(G24,K24,M24,O24)</f>
        <v>8</v>
      </c>
      <c r="S24" s="62"/>
      <c r="T24" s="7">
        <f>5-AE24</f>
        <v>1</v>
      </c>
      <c r="X24" s="66">
        <f>SUM(IF((P24-P25)&gt;0,1,0),IF((P24-P26)&gt;0,1,0),IF((P24-P27)&gt;0,1,0),IF((P24-P23)&gt;0,1,0))</f>
        <v>4</v>
      </c>
      <c r="Y24" s="66">
        <f>IF($X$23-X24=0,(IF($S$23-S24&lt;0,$X$23-1,$X$23)),$X$23)</f>
        <v>3</v>
      </c>
      <c r="AA24" s="66">
        <f t="shared" ref="AA24:AA27" si="10">IF($X$25-X24=0,(IF($S$25-S24&lt;0,$X$25-1,$X$25)),$X$25)</f>
        <v>2</v>
      </c>
      <c r="AB24" s="66">
        <f t="shared" ref="AB24:AB27" si="11">IF($X$26-X24=0,(IF($S$26-S24&lt;0,$X$26-1,$X$26)),$X$26)</f>
        <v>0</v>
      </c>
      <c r="AC24" s="66">
        <f t="shared" ref="AC24:AC26" si="12">IF($X$27-X24=0,(IF($S$27-S24&lt;0,$X$27-1,$X$27)),$X$27)</f>
        <v>0</v>
      </c>
      <c r="AE24" s="66">
        <f>SUM(IF((Z28-Y28)&gt;0,1,0),IF((Z28-AA28)&gt;0,1,0),IF((Z28-AB28)&gt;0,1,0),IF((Z28-AC28)&gt;0,1,0))</f>
        <v>4</v>
      </c>
    </row>
    <row r="25" spans="1:31" ht="40.5" customHeight="1" thickBot="1">
      <c r="A25" s="192"/>
      <c r="C25" s="11"/>
      <c r="D25" s="3">
        <v>3</v>
      </c>
      <c r="E25" s="113" t="str">
        <f>Участники!M17</f>
        <v>Саморуков Юрий / Преснякова Елена</v>
      </c>
      <c r="F25" s="106">
        <f>K23</f>
        <v>0</v>
      </c>
      <c r="G25" s="115">
        <f>J23</f>
        <v>9</v>
      </c>
      <c r="H25" s="114">
        <f>K24</f>
        <v>2</v>
      </c>
      <c r="I25" s="115">
        <f>J24</f>
        <v>9</v>
      </c>
      <c r="J25" s="203"/>
      <c r="K25" s="204"/>
      <c r="L25" s="106">
        <f>'Расписание игр Этапа 1'!G64</f>
        <v>8</v>
      </c>
      <c r="M25" s="107">
        <f>'Расписание игр Этапа 1'!H64</f>
        <v>7</v>
      </c>
      <c r="N25" s="106">
        <f>'Расписание игр Этапа 1'!G52</f>
        <v>0</v>
      </c>
      <c r="O25" s="107">
        <f>'Расписание игр Этапа 1'!H52</f>
        <v>0</v>
      </c>
      <c r="P25" s="126">
        <f>SUM(IF((F25-G25)&gt;0,1,0),IF((H25-I25)&gt;0,1,0),IF((L25-M25)&gt;0,1,0),IF((N25-O25)&gt;0,1,0))</f>
        <v>1</v>
      </c>
      <c r="Q25" s="123">
        <f>SUM(H25,F25,L25,N25)</f>
        <v>10</v>
      </c>
      <c r="R25" s="124">
        <f>SUM(I25,G25,M25,O25)</f>
        <v>25</v>
      </c>
      <c r="S25" s="62"/>
      <c r="T25" s="7">
        <f>5-AE25</f>
        <v>3</v>
      </c>
      <c r="X25" s="66">
        <f>SUM(IF((P25-P26)&gt;0,1,0),IF((P25-P27)&gt;0,1,0),IF((P25-P23)&gt;0,1,0),IF((P25-P24)&gt;0,1,0))</f>
        <v>2</v>
      </c>
      <c r="Y25" s="66">
        <f t="shared" ref="Y25:Y27" si="13">IF($X$23-X25=0,(IF($S$23-S25&lt;0,$X$23-1,$X$23)),$X$23)</f>
        <v>3</v>
      </c>
      <c r="Z25" s="66">
        <f t="shared" ref="Z25:Z27" si="14">IF($X$24-X25=0,(IF($S$24-S25&lt;0,$X$24-1,$X$24)),$X$24)</f>
        <v>4</v>
      </c>
      <c r="AB25" s="66">
        <f t="shared" si="11"/>
        <v>0</v>
      </c>
      <c r="AC25" s="66">
        <f t="shared" si="12"/>
        <v>0</v>
      </c>
      <c r="AE25" s="66">
        <f>SUM(IF((AA28-Y28)&gt;0,1,0),IF((AA28-Z28)&gt;0,1,0),IF((AA28-AB28)&gt;0,1,0),IF((AA28-AC28)&gt;0,1,0))</f>
        <v>2</v>
      </c>
    </row>
    <row r="26" spans="1:31" ht="40.5" customHeight="1" thickBot="1">
      <c r="A26" s="192"/>
      <c r="C26" s="11"/>
      <c r="D26" s="3">
        <v>4</v>
      </c>
      <c r="E26" s="113" t="str">
        <f>Участники!M20</f>
        <v>Галанов Михаил / Егорова Злата</v>
      </c>
      <c r="F26" s="114">
        <f>M23</f>
        <v>6</v>
      </c>
      <c r="G26" s="115">
        <f>L23</f>
        <v>8</v>
      </c>
      <c r="H26" s="114">
        <f>M24</f>
        <v>2</v>
      </c>
      <c r="I26" s="115">
        <f>L24</f>
        <v>9</v>
      </c>
      <c r="J26" s="114">
        <f>M25</f>
        <v>7</v>
      </c>
      <c r="K26" s="115">
        <f>L25</f>
        <v>8</v>
      </c>
      <c r="L26" s="203"/>
      <c r="M26" s="204"/>
      <c r="N26" s="116">
        <f>'Расписание игр Этапа 1'!G61</f>
        <v>0</v>
      </c>
      <c r="O26" s="117">
        <f>'Расписание игр Этапа 1'!H61</f>
        <v>0</v>
      </c>
      <c r="P26" s="126">
        <f>SUM(IF((F26-G26)&gt;0,1,0),IF((H26-I26)&gt;0,1,0),IF((J26-K26)&gt;0,1,0),IF((N26-O26)&gt;0,1,0))</f>
        <v>0</v>
      </c>
      <c r="Q26" s="123">
        <f>SUM(H26,J26,F26,N26)</f>
        <v>15</v>
      </c>
      <c r="R26" s="124">
        <f>SUM(I26,K26,G26,O26)</f>
        <v>25</v>
      </c>
      <c r="S26" s="63">
        <v>1</v>
      </c>
      <c r="T26" s="58">
        <f>5-AE26</f>
        <v>4</v>
      </c>
      <c r="X26" s="66">
        <f>SUM(IF((P26-P27)&gt;0,1,0),IF((P26-P23)&gt;0,1,0),IF((P26-P24)&gt;0,1,0),IF((P26-P25)&gt;0,1,0))</f>
        <v>0</v>
      </c>
      <c r="Y26" s="66">
        <f t="shared" si="13"/>
        <v>3</v>
      </c>
      <c r="Z26" s="66">
        <f t="shared" si="14"/>
        <v>4</v>
      </c>
      <c r="AA26" s="66">
        <f t="shared" si="10"/>
        <v>2</v>
      </c>
      <c r="AC26" s="66">
        <f t="shared" si="12"/>
        <v>-1</v>
      </c>
      <c r="AE26" s="66">
        <f>SUM(IF((AB28-Y28)&gt;0,1,0),IF((AB28-Z28)&gt;0,1,0),IF((AB28-AA28)&gt;0,1,0),IF((AB28-AC28)&gt;0,1,0))</f>
        <v>1</v>
      </c>
    </row>
    <row r="27" spans="1:31" ht="40.5" customHeight="1" thickBot="1">
      <c r="C27" s="11"/>
      <c r="D27" s="60">
        <v>5</v>
      </c>
      <c r="E27" s="108">
        <f>Участники!M25</f>
        <v>0</v>
      </c>
      <c r="F27" s="109">
        <f>O23</f>
        <v>0</v>
      </c>
      <c r="G27" s="110">
        <f>N23</f>
        <v>0</v>
      </c>
      <c r="H27" s="109">
        <f>O24</f>
        <v>0</v>
      </c>
      <c r="I27" s="110">
        <f>N24</f>
        <v>0</v>
      </c>
      <c r="J27" s="109">
        <f>O25</f>
        <v>0</v>
      </c>
      <c r="K27" s="110">
        <f>N25</f>
        <v>0</v>
      </c>
      <c r="L27" s="111">
        <f>O26</f>
        <v>0</v>
      </c>
      <c r="M27" s="112">
        <f>N26</f>
        <v>0</v>
      </c>
      <c r="N27" s="212"/>
      <c r="O27" s="213"/>
      <c r="P27" s="125">
        <f>SUM(IF((F27-G27)&gt;0,1,0),IF((H27-I27)&gt;0,1,0),IF((J27-K27)&gt;0,1,0),IF((L27-M27)&gt;0,1,0))</f>
        <v>0</v>
      </c>
      <c r="Q27" s="121">
        <f>SUM(H27,J27,L27,F27)</f>
        <v>0</v>
      </c>
      <c r="R27" s="122">
        <f>SUM(I27,K27,M27,G27)</f>
        <v>0</v>
      </c>
      <c r="S27" s="63"/>
      <c r="T27" s="8">
        <f>5-AE27</f>
        <v>5</v>
      </c>
      <c r="X27" s="66">
        <f>SUM(IF((P27-P23)&gt;0,1,0),IF((P27-P24)&gt;0,1,0),IF((P27-P25)&gt;0,1,0),IF((P27-P26)&gt;0,1,0))</f>
        <v>0</v>
      </c>
      <c r="Y27" s="66">
        <f t="shared" si="13"/>
        <v>3</v>
      </c>
      <c r="Z27" s="66">
        <f t="shared" si="14"/>
        <v>4</v>
      </c>
      <c r="AA27" s="66">
        <f t="shared" si="10"/>
        <v>2</v>
      </c>
      <c r="AB27" s="66">
        <f t="shared" si="11"/>
        <v>0</v>
      </c>
      <c r="AE27" s="66">
        <f>SUM(IF((AC28-Y28)&gt;0,1,0),IF((AC28-Z28)&gt;0,1,0),IF((AC28-AA28)&gt;0,1,0),IF((AC28-AB28)&gt;0,1,0))</f>
        <v>0</v>
      </c>
    </row>
    <row r="28" spans="1:31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Y28" s="66">
        <f>SUM(Y24:Y27)</f>
        <v>12</v>
      </c>
      <c r="Z28" s="66">
        <f>SUM(Z23,Z25:Z27)</f>
        <v>16</v>
      </c>
      <c r="AA28" s="66">
        <f>SUM(AA23:AA24,AA26:AA27)</f>
        <v>8</v>
      </c>
      <c r="AB28" s="66">
        <f>SUM(AB23:AB25,AB27)</f>
        <v>0</v>
      </c>
      <c r="AC28" s="66">
        <f>SUM(AC23:AC26)</f>
        <v>-1</v>
      </c>
    </row>
    <row r="29" spans="1:3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31" ht="23.25" thickBot="1">
      <c r="C30" s="11"/>
      <c r="D30" s="205" t="s">
        <v>58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6"/>
      <c r="O30" s="206"/>
      <c r="P30" s="205"/>
      <c r="Q30" s="205"/>
      <c r="R30" s="205"/>
      <c r="S30" s="205"/>
      <c r="T30" s="205"/>
    </row>
    <row r="31" spans="1:31" ht="19.5" thickBot="1">
      <c r="C31" s="11"/>
      <c r="D31" s="5" t="s">
        <v>0</v>
      </c>
      <c r="E31" s="59" t="s">
        <v>6</v>
      </c>
      <c r="F31" s="207">
        <v>1</v>
      </c>
      <c r="G31" s="208"/>
      <c r="H31" s="207">
        <v>2</v>
      </c>
      <c r="I31" s="209"/>
      <c r="J31" s="207">
        <v>3</v>
      </c>
      <c r="K31" s="209"/>
      <c r="L31" s="207">
        <v>4</v>
      </c>
      <c r="M31" s="208"/>
      <c r="N31" s="210">
        <v>5</v>
      </c>
      <c r="O31" s="211"/>
      <c r="P31" s="104" t="s">
        <v>7</v>
      </c>
      <c r="Q31" s="210" t="s">
        <v>9</v>
      </c>
      <c r="R31" s="211"/>
      <c r="S31" s="3" t="s">
        <v>59</v>
      </c>
      <c r="T31" s="3" t="s">
        <v>8</v>
      </c>
    </row>
    <row r="32" spans="1:31" ht="40.5" customHeight="1" thickBot="1">
      <c r="C32" s="11"/>
      <c r="D32" s="3">
        <v>1</v>
      </c>
      <c r="E32" s="128" t="str">
        <f>Участники!M10</f>
        <v>Попов Дмитрий / Ерасова Екатерина</v>
      </c>
      <c r="F32" s="203"/>
      <c r="G32" s="204"/>
      <c r="H32" s="106">
        <f>'Расписание игр Этапа 1'!G84</f>
        <v>6</v>
      </c>
      <c r="I32" s="107">
        <f>'Расписание игр Этапа 1'!H84</f>
        <v>4</v>
      </c>
      <c r="J32" s="106">
        <f>'Расписание игр Этапа 1'!G81</f>
        <v>9</v>
      </c>
      <c r="K32" s="107">
        <f>'Расписание игр Этапа 1'!H81</f>
        <v>7</v>
      </c>
      <c r="L32" s="106">
        <f>'Расписание игр Этапа 1'!G78</f>
        <v>0</v>
      </c>
      <c r="M32" s="107">
        <f>'Расписание игр Этапа 1'!H78</f>
        <v>0</v>
      </c>
      <c r="N32" s="106">
        <f>'Расписание игр Этапа 1'!G75</f>
        <v>9</v>
      </c>
      <c r="O32" s="107">
        <f>'Расписание игр Этапа 1'!H75</f>
        <v>1</v>
      </c>
      <c r="P32" s="126">
        <f>SUM(IF((H32-I32)&gt;0,1,0),IF((J32-K32)&gt;0,1,0),IF((L32-M32)&gt;0,1,0),IF((N32-O32)&gt;0,1,0))</f>
        <v>3</v>
      </c>
      <c r="Q32" s="123">
        <f>SUM(H32,J32,L32,N32)</f>
        <v>24</v>
      </c>
      <c r="R32" s="124">
        <f>SUM(I32,K32,M32,O32)</f>
        <v>12</v>
      </c>
      <c r="S32" s="62"/>
      <c r="T32" s="6">
        <f>5-AE32</f>
        <v>1</v>
      </c>
      <c r="X32" s="66">
        <f>SUM(IF((P32-P33)&gt;0,1,0),IF((P32-P34)&gt;0,1,0),IF((P32-P35)&gt;0,1,0),IF((P32-P36)&gt;0,1,0))</f>
        <v>4</v>
      </c>
      <c r="Z32" s="66">
        <f>IF($X$33-X32=0,(IF($S$33-S32&lt;0,$X$33-1,$X$33)),$X$33)</f>
        <v>2</v>
      </c>
      <c r="AA32" s="66">
        <f>IF($X$34-X32=0,(IF($S$34-S32&lt;0,$X$34-1,$X$34)),$X$34)</f>
        <v>3</v>
      </c>
      <c r="AB32" s="66">
        <f>IF($X$35-X32=0,(IF($S$35-S32&lt;0,$X$35-1,$X$35)),$X$35)</f>
        <v>0</v>
      </c>
      <c r="AC32" s="66">
        <f>IF($X$36-X32=0,(IF($S$35-S32&lt;0,$X$36-1,$X$36)),$X$36)</f>
        <v>0</v>
      </c>
      <c r="AE32" s="66">
        <f>SUM(IF((Y37-Z37)&gt;0,1,0),IF((Y37-AA37)&gt;0,1,0),IF((Y37-AB37)&gt;0,1,0),IF((Y37-AC37)&gt;0,1,0))</f>
        <v>4</v>
      </c>
    </row>
    <row r="33" spans="3:31" ht="40.5" customHeight="1" thickBot="1">
      <c r="C33" s="11"/>
      <c r="D33" s="3">
        <v>2</v>
      </c>
      <c r="E33" s="128" t="str">
        <f>Участники!M11</f>
        <v>Дуплякин Юрий / Дуплякина Анна</v>
      </c>
      <c r="F33" s="114">
        <f>I32</f>
        <v>4</v>
      </c>
      <c r="G33" s="115">
        <f>H32</f>
        <v>6</v>
      </c>
      <c r="H33" s="203"/>
      <c r="I33" s="204"/>
      <c r="J33" s="106">
        <f>'Расписание игр Этапа 1'!G76</f>
        <v>4</v>
      </c>
      <c r="K33" s="107">
        <f>'Расписание игр Этапа 1'!H76</f>
        <v>8</v>
      </c>
      <c r="L33" s="106">
        <f>'Расписание игр Этапа 1'!G72</f>
        <v>0</v>
      </c>
      <c r="M33" s="107">
        <f>'Расписание игр Этапа 1'!H72</f>
        <v>0</v>
      </c>
      <c r="N33" s="106">
        <f>'Расписание игр Этапа 1'!G79</f>
        <v>9</v>
      </c>
      <c r="O33" s="107">
        <f>'Расписание игр Этапа 1'!H79</f>
        <v>0</v>
      </c>
      <c r="P33" s="126">
        <f>SUM(IF((F33-G33)&gt;0,1,0),IF((J33-K33)&gt;0,1,0),IF((L33-M33)&gt;0,1,0),IF((N33-O33)&gt;0,1,0))</f>
        <v>1</v>
      </c>
      <c r="Q33" s="123">
        <f>SUM(F33,J33,L33,N33)</f>
        <v>17</v>
      </c>
      <c r="R33" s="124">
        <f>SUM(G33,K33,M33,O33)</f>
        <v>14</v>
      </c>
      <c r="S33" s="62"/>
      <c r="T33" s="7">
        <f>5-AE33</f>
        <v>3</v>
      </c>
      <c r="X33" s="66">
        <f>SUM(IF((P33-P34)&gt;0,1,0),IF((P33-P35)&gt;0,1,0),IF((P33-P36)&gt;0,1,0),IF((P33-P32)&gt;0,1,0))</f>
        <v>2</v>
      </c>
      <c r="Y33" s="66">
        <f>IF($X$32-X33=0,(IF($S$32-S33&lt;0,$X$32-1,$X$32)),$X$32)</f>
        <v>4</v>
      </c>
      <c r="AA33" s="66">
        <f t="shared" ref="AA33:AA36" si="15">IF($X$34-X33=0,(IF($S$34-S33&lt;0,$X$34-1,$X$34)),$X$34)</f>
        <v>3</v>
      </c>
      <c r="AB33" s="66">
        <f t="shared" ref="AB33:AB36" si="16">IF($X$35-X33=0,(IF($S$35-S33&lt;0,$X$35-1,$X$35)),$X$35)</f>
        <v>0</v>
      </c>
      <c r="AC33" s="66">
        <f t="shared" ref="AC33:AC34" si="17">IF($X$36-X33=0,(IF($S$35-S33&lt;0,$X$36-1,$X$36)),$X$36)</f>
        <v>0</v>
      </c>
      <c r="AE33" s="66">
        <f>SUM(IF((Z37-Y37)&gt;0,1,0),IF((Z37-AA37)&gt;0,1,0),IF((Z37-AB37)&gt;0,1,0),IF((Z37-AC37)&gt;0,1,0))</f>
        <v>2</v>
      </c>
    </row>
    <row r="34" spans="3:31" ht="40.5" customHeight="1" thickBot="1">
      <c r="C34" s="11"/>
      <c r="D34" s="3">
        <v>3</v>
      </c>
      <c r="E34" s="128" t="str">
        <f>Участники!M18</f>
        <v>Лукин Сергей / Князева Елена</v>
      </c>
      <c r="F34" s="106">
        <f>K32</f>
        <v>7</v>
      </c>
      <c r="G34" s="115">
        <f>J32</f>
        <v>9</v>
      </c>
      <c r="H34" s="114">
        <f>K33</f>
        <v>8</v>
      </c>
      <c r="I34" s="115">
        <f>J33</f>
        <v>4</v>
      </c>
      <c r="J34" s="203"/>
      <c r="K34" s="204"/>
      <c r="L34" s="106">
        <f>'Расписание игр Этапа 1'!G85</f>
        <v>0</v>
      </c>
      <c r="M34" s="107">
        <f>'Расписание игр Этапа 1'!H85</f>
        <v>0</v>
      </c>
      <c r="N34" s="106">
        <f>'Расписание игр Этапа 1'!G73</f>
        <v>9</v>
      </c>
      <c r="O34" s="107">
        <f>'Расписание игр Этапа 1'!H73</f>
        <v>0</v>
      </c>
      <c r="P34" s="126">
        <f>SUM(IF((F34-G34)&gt;0,1,0),IF((H34-I34)&gt;0,1,0),IF((L34-M34)&gt;0,1,0),IF((N34-O34)&gt;0,1,0))</f>
        <v>2</v>
      </c>
      <c r="Q34" s="123">
        <f>SUM(H34,F34,L34,N34)</f>
        <v>24</v>
      </c>
      <c r="R34" s="124">
        <f>SUM(I34,G34,M34,O34)</f>
        <v>13</v>
      </c>
      <c r="S34" s="62"/>
      <c r="T34" s="7">
        <f>5-AE34</f>
        <v>2</v>
      </c>
      <c r="X34" s="66">
        <f>SUM(IF((P34-P35)&gt;0,1,0),IF((P34-P36)&gt;0,1,0),IF((P34-P32)&gt;0,1,0),IF((P34-P33)&gt;0,1,0))</f>
        <v>3</v>
      </c>
      <c r="Y34" s="66">
        <f t="shared" ref="Y34:Y36" si="18">IF($X$32-X34=0,(IF($S$32-S34&lt;0,$X$32-1,$X$32)),$X$32)</f>
        <v>4</v>
      </c>
      <c r="Z34" s="66">
        <f t="shared" ref="Z34:Z36" si="19">IF($X$33-X34=0,(IF($S$33-S34&lt;0,$X$33-1,$X$33)),$X$33)</f>
        <v>2</v>
      </c>
      <c r="AB34" s="66">
        <f t="shared" si="16"/>
        <v>0</v>
      </c>
      <c r="AC34" s="66">
        <f t="shared" si="17"/>
        <v>0</v>
      </c>
      <c r="AE34" s="66">
        <f>SUM(IF((AA37-Y37)&gt;0,1,0),IF((AA37-Z37)&gt;0,1,0),IF((AA37-AB37)&gt;0,1,0),IF((AA37-AC37)&gt;0,1,0))</f>
        <v>3</v>
      </c>
    </row>
    <row r="35" spans="3:31" ht="40.5" customHeight="1" thickBot="1">
      <c r="C35" s="11"/>
      <c r="D35" s="3">
        <v>4</v>
      </c>
      <c r="E35" s="128">
        <f>Участники!M19</f>
        <v>0</v>
      </c>
      <c r="F35" s="114">
        <f>M32</f>
        <v>0</v>
      </c>
      <c r="G35" s="115">
        <f>L32</f>
        <v>0</v>
      </c>
      <c r="H35" s="114">
        <f>M33</f>
        <v>0</v>
      </c>
      <c r="I35" s="115">
        <f>L33</f>
        <v>0</v>
      </c>
      <c r="J35" s="114">
        <f>M34</f>
        <v>0</v>
      </c>
      <c r="K35" s="115">
        <f>L34</f>
        <v>0</v>
      </c>
      <c r="L35" s="203"/>
      <c r="M35" s="204"/>
      <c r="N35" s="116">
        <f>'Расписание игр Этапа 1'!G82</f>
        <v>0</v>
      </c>
      <c r="O35" s="117">
        <f>'Расписание игр Этапа 1'!H82</f>
        <v>0</v>
      </c>
      <c r="P35" s="126">
        <f>SUM(IF((F35-G35)&gt;0,1,0),IF((H35-I35)&gt;0,1,0),IF((J35-K35)&gt;0,1,0),IF((N35-O35)&gt;0,1,0))</f>
        <v>0</v>
      </c>
      <c r="Q35" s="123">
        <f>SUM(H35,J35,F35,N35)</f>
        <v>0</v>
      </c>
      <c r="R35" s="124">
        <f>SUM(I35,K35,G35,O35)</f>
        <v>0</v>
      </c>
      <c r="S35" s="63"/>
      <c r="T35" s="58">
        <f>5-AE35</f>
        <v>5</v>
      </c>
      <c r="X35" s="66">
        <f>SUM(IF((P35-P36)&gt;0,1,0),IF((P35-P32)&gt;0,1,0),IF((P35-P33)&gt;0,1,0),IF((P35-P34)&gt;0,1,0))</f>
        <v>0</v>
      </c>
      <c r="Y35" s="66">
        <f t="shared" si="18"/>
        <v>4</v>
      </c>
      <c r="Z35" s="66">
        <f t="shared" si="19"/>
        <v>2</v>
      </c>
      <c r="AA35" s="66">
        <f t="shared" si="15"/>
        <v>3</v>
      </c>
      <c r="AC35" s="66">
        <f>IF($X$36-X35=0,(IF($S$36-S35&lt;0,$X$36-1,$X$36)),$X$36)</f>
        <v>0</v>
      </c>
      <c r="AE35" s="66">
        <f>SUM(IF((AB37-Y37)&gt;0,1,0),IF((AB37-Z37)&gt;0,1,0),IF((AB37-AA37)&gt;0,1,0),IF((AB37-AC37)&gt;0,1,0))</f>
        <v>0</v>
      </c>
    </row>
    <row r="36" spans="3:31" ht="40.5" customHeight="1" thickBot="1">
      <c r="C36" s="11"/>
      <c r="D36" s="60">
        <v>5</v>
      </c>
      <c r="E36" s="127" t="str">
        <f>Участники!M26</f>
        <v>Карпов Илья / Егорова Анна</v>
      </c>
      <c r="F36" s="109">
        <f>O32</f>
        <v>1</v>
      </c>
      <c r="G36" s="110">
        <f>N32</f>
        <v>9</v>
      </c>
      <c r="H36" s="109">
        <f>O33</f>
        <v>0</v>
      </c>
      <c r="I36" s="110">
        <f>N33</f>
        <v>9</v>
      </c>
      <c r="J36" s="109">
        <f>O34</f>
        <v>0</v>
      </c>
      <c r="K36" s="110">
        <f>N34</f>
        <v>9</v>
      </c>
      <c r="L36" s="111">
        <f>O35</f>
        <v>0</v>
      </c>
      <c r="M36" s="112">
        <f>N35</f>
        <v>0</v>
      </c>
      <c r="N36" s="212"/>
      <c r="O36" s="213"/>
      <c r="P36" s="125">
        <f>SUM(IF((F36-G36)&gt;0,1,0),IF((H36-I36)&gt;0,1,0),IF((J36-K36)&gt;0,1,0),IF((L36-M36)&gt;0,1,0))</f>
        <v>0</v>
      </c>
      <c r="Q36" s="121">
        <f>SUM(H36,J36,L36,F36)</f>
        <v>1</v>
      </c>
      <c r="R36" s="122">
        <f>SUM(I36,K36,M36,G36)</f>
        <v>27</v>
      </c>
      <c r="S36" s="63">
        <v>1</v>
      </c>
      <c r="T36" s="8">
        <f>5-AE36</f>
        <v>4</v>
      </c>
      <c r="X36" s="66">
        <f>SUM(IF((P36-P32)&gt;0,1,0),IF((P36-P33)&gt;0,1,0),IF((P36-P34)&gt;0,1,0),IF((P36-P35)&gt;0,1,0))</f>
        <v>0</v>
      </c>
      <c r="Y36" s="66">
        <f t="shared" si="18"/>
        <v>4</v>
      </c>
      <c r="Z36" s="66">
        <f t="shared" si="19"/>
        <v>2</v>
      </c>
      <c r="AA36" s="66">
        <f t="shared" si="15"/>
        <v>3</v>
      </c>
      <c r="AB36" s="66">
        <f t="shared" si="16"/>
        <v>-1</v>
      </c>
      <c r="AE36" s="66">
        <f>SUM(IF((AC37-Y37)&gt;0,1,0),IF((AC37-Z37)&gt;0,1,0),IF((AC37-AA37)&gt;0,1,0),IF((AC37-AB37)&gt;0,1,0))</f>
        <v>1</v>
      </c>
    </row>
    <row r="37" spans="3:3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Y37" s="66">
        <f>SUM(Y33:Y36)</f>
        <v>16</v>
      </c>
      <c r="Z37" s="66">
        <f>SUM(Z32,Z34:Z36)</f>
        <v>8</v>
      </c>
      <c r="AA37" s="66">
        <f>SUM(AA32:AA33,AA35:AA36)</f>
        <v>12</v>
      </c>
      <c r="AB37" s="66">
        <f>SUM(AB32:AB34,AB36)</f>
        <v>-1</v>
      </c>
      <c r="AC37" s="66">
        <f>SUM(AC32:AC35)</f>
        <v>0</v>
      </c>
    </row>
    <row r="38" spans="3:3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3:3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3:3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3:3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3:3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3:3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</sheetData>
  <sheetProtection sheet="1" objects="1" scenarios="1"/>
  <mergeCells count="50">
    <mergeCell ref="L26:M26"/>
    <mergeCell ref="N27:O27"/>
    <mergeCell ref="D30:T30"/>
    <mergeCell ref="F31:G31"/>
    <mergeCell ref="H31:I31"/>
    <mergeCell ref="J31:K31"/>
    <mergeCell ref="L31:M31"/>
    <mergeCell ref="N31:O31"/>
    <mergeCell ref="Q31:R31"/>
    <mergeCell ref="Q4:R4"/>
    <mergeCell ref="N18:O18"/>
    <mergeCell ref="D21:T21"/>
    <mergeCell ref="F22:G22"/>
    <mergeCell ref="H22:I22"/>
    <mergeCell ref="J22:K22"/>
    <mergeCell ref="L22:M22"/>
    <mergeCell ref="N22:O22"/>
    <mergeCell ref="Q22:R22"/>
    <mergeCell ref="L35:M35"/>
    <mergeCell ref="N36:O36"/>
    <mergeCell ref="D3:T3"/>
    <mergeCell ref="F4:G4"/>
    <mergeCell ref="H4:I4"/>
    <mergeCell ref="J4:K4"/>
    <mergeCell ref="L8:M8"/>
    <mergeCell ref="J7:K7"/>
    <mergeCell ref="H6:I6"/>
    <mergeCell ref="L4:M4"/>
    <mergeCell ref="F5:G5"/>
    <mergeCell ref="F14:G14"/>
    <mergeCell ref="H15:I15"/>
    <mergeCell ref="J16:K16"/>
    <mergeCell ref="L17:M17"/>
    <mergeCell ref="N4:O4"/>
    <mergeCell ref="AI7:AN7"/>
    <mergeCell ref="AI9:AN9"/>
    <mergeCell ref="H33:I33"/>
    <mergeCell ref="F32:G32"/>
    <mergeCell ref="J34:K34"/>
    <mergeCell ref="N9:O9"/>
    <mergeCell ref="D12:T12"/>
    <mergeCell ref="F13:G13"/>
    <mergeCell ref="H13:I13"/>
    <mergeCell ref="J13:K13"/>
    <mergeCell ref="L13:M13"/>
    <mergeCell ref="N13:O13"/>
    <mergeCell ref="Q13:R13"/>
    <mergeCell ref="F23:G23"/>
    <mergeCell ref="H24:I24"/>
    <mergeCell ref="J25:K25"/>
  </mergeCells>
  <pageMargins left="0.7" right="0.7" top="0.75" bottom="0.75" header="0.3" footer="0.3"/>
  <pageSetup paperSize="9" scale="37" orientation="portrait" r:id="rId1"/>
  <colBreaks count="2" manualBreakCount="2">
    <brk id="2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C3:N101"/>
  <sheetViews>
    <sheetView topLeftCell="B46" zoomScale="70" zoomScaleNormal="70" workbookViewId="0">
      <selection activeCell="I64" sqref="I64:J64"/>
    </sheetView>
  </sheetViews>
  <sheetFormatPr defaultColWidth="9.140625" defaultRowHeight="15"/>
  <cols>
    <col min="1" max="5" width="9.140625" style="24"/>
    <col min="6" max="6" width="22.85546875" style="24" customWidth="1"/>
    <col min="7" max="9" width="9.140625" style="24"/>
    <col min="10" max="10" width="25.85546875" style="24" customWidth="1"/>
    <col min="11" max="16384" width="9.140625" style="24"/>
  </cols>
  <sheetData>
    <row r="3" spans="3:14" ht="15.75" thickBot="1"/>
    <row r="4" spans="3:14" ht="20.25">
      <c r="C4" s="28"/>
      <c r="D4" s="29"/>
      <c r="E4" s="30"/>
      <c r="F4" s="30"/>
      <c r="G4" s="31"/>
      <c r="H4" s="31"/>
      <c r="I4" s="30"/>
      <c r="J4" s="30"/>
      <c r="K4" s="29"/>
      <c r="L4" s="29"/>
      <c r="M4" s="32"/>
      <c r="N4" s="25"/>
    </row>
    <row r="5" spans="3:14" ht="20.25">
      <c r="C5" s="33"/>
      <c r="D5" s="216" t="s">
        <v>12</v>
      </c>
      <c r="E5" s="216"/>
      <c r="F5" s="216"/>
      <c r="G5" s="216"/>
      <c r="H5" s="216"/>
      <c r="I5" s="216"/>
      <c r="J5" s="216"/>
      <c r="K5" s="216"/>
      <c r="L5" s="216"/>
      <c r="M5" s="34"/>
      <c r="N5" s="25"/>
    </row>
    <row r="6" spans="3:14" ht="20.25">
      <c r="C6" s="33"/>
      <c r="D6" s="25"/>
      <c r="E6" s="35"/>
      <c r="F6" s="35"/>
      <c r="G6" s="36"/>
      <c r="H6" s="36"/>
      <c r="I6" s="35"/>
      <c r="J6" s="35"/>
      <c r="K6" s="25"/>
      <c r="L6" s="25"/>
      <c r="M6" s="34"/>
      <c r="N6" s="25"/>
    </row>
    <row r="7" spans="3:14" ht="20.25">
      <c r="C7" s="33"/>
      <c r="D7" s="25"/>
      <c r="E7" s="35"/>
      <c r="F7" s="35"/>
      <c r="G7" s="36"/>
      <c r="H7" s="36"/>
      <c r="I7" s="35"/>
      <c r="J7" s="35"/>
      <c r="K7" s="25"/>
      <c r="L7" s="25"/>
      <c r="M7" s="34"/>
      <c r="N7" s="25"/>
    </row>
    <row r="8" spans="3:14" ht="40.5" customHeight="1">
      <c r="C8" s="33"/>
      <c r="D8" s="215" t="s">
        <v>22</v>
      </c>
      <c r="E8" s="214" t="str">
        <f>'Первый ЭТАП'!E6</f>
        <v>Домарев Андрей / Сизова Дарья</v>
      </c>
      <c r="F8" s="214"/>
      <c r="G8" s="23">
        <v>9</v>
      </c>
      <c r="H8" s="23">
        <v>3</v>
      </c>
      <c r="I8" s="214" t="str">
        <f>'Первый ЭТАП'!E8</f>
        <v>Еремеев Евгений / Алексеева Елена</v>
      </c>
      <c r="J8" s="214"/>
      <c r="K8" s="25"/>
      <c r="L8" s="25" t="s">
        <v>49</v>
      </c>
      <c r="M8" s="34"/>
      <c r="N8" s="25"/>
    </row>
    <row r="9" spans="3:14" ht="40.5" customHeight="1">
      <c r="C9" s="33"/>
      <c r="D9" s="215"/>
      <c r="E9" s="214" t="str">
        <f>'Первый ЭТАП'!E7</f>
        <v>Ли Александр / Ширяева Елена</v>
      </c>
      <c r="F9" s="214"/>
      <c r="G9" s="23">
        <v>0</v>
      </c>
      <c r="H9" s="23">
        <v>9</v>
      </c>
      <c r="I9" s="214" t="str">
        <f>'Первый ЭТАП'!E9</f>
        <v>Чекулаев Михаил / Берсенева Елизавета</v>
      </c>
      <c r="J9" s="214"/>
      <c r="K9" s="25"/>
      <c r="L9" s="25" t="s">
        <v>30</v>
      </c>
      <c r="M9" s="34"/>
      <c r="N9" s="25"/>
    </row>
    <row r="10" spans="3:14" ht="40.5" customHeight="1">
      <c r="C10" s="33"/>
      <c r="D10" s="25"/>
      <c r="E10" s="103"/>
      <c r="F10" s="103"/>
      <c r="G10" s="36"/>
      <c r="H10" s="36"/>
      <c r="I10" s="103"/>
      <c r="J10" s="103"/>
      <c r="K10" s="25"/>
      <c r="L10" s="25"/>
      <c r="M10" s="34"/>
      <c r="N10" s="25"/>
    </row>
    <row r="11" spans="3:14" ht="40.5" customHeight="1">
      <c r="C11" s="33"/>
      <c r="D11" s="215" t="s">
        <v>27</v>
      </c>
      <c r="E11" s="214" t="str">
        <f>'Первый ЭТАП'!E5</f>
        <v>Попов Михаил / Фокина Алла</v>
      </c>
      <c r="F11" s="214"/>
      <c r="G11" s="23">
        <v>9</v>
      </c>
      <c r="H11" s="23">
        <v>3</v>
      </c>
      <c r="I11" s="214" t="str">
        <f>'Первый ЭТАП'!E9</f>
        <v>Чекулаев Михаил / Берсенева Елизавета</v>
      </c>
      <c r="J11" s="214"/>
      <c r="K11" s="25"/>
      <c r="L11" s="25" t="s">
        <v>38</v>
      </c>
      <c r="M11" s="34"/>
      <c r="N11" s="25"/>
    </row>
    <row r="12" spans="3:14" ht="40.5" customHeight="1">
      <c r="C12" s="33"/>
      <c r="D12" s="215"/>
      <c r="E12" s="214" t="str">
        <f>'Первый ЭТАП'!E6</f>
        <v>Домарев Андрей / Сизова Дарья</v>
      </c>
      <c r="F12" s="214"/>
      <c r="G12" s="23">
        <v>9</v>
      </c>
      <c r="H12" s="23">
        <v>3</v>
      </c>
      <c r="I12" s="214" t="str">
        <f>'Первый ЭТАП'!E7</f>
        <v>Ли Александр / Ширяева Елена</v>
      </c>
      <c r="J12" s="214"/>
      <c r="K12" s="25"/>
      <c r="L12" s="25" t="s">
        <v>44</v>
      </c>
      <c r="M12" s="34"/>
      <c r="N12" s="25"/>
    </row>
    <row r="13" spans="3:14" ht="40.5" customHeight="1">
      <c r="C13" s="33"/>
      <c r="D13" s="25"/>
      <c r="E13" s="103"/>
      <c r="F13" s="103"/>
      <c r="G13" s="36"/>
      <c r="H13" s="36"/>
      <c r="I13" s="103"/>
      <c r="J13" s="103"/>
      <c r="K13" s="25"/>
      <c r="L13" s="25"/>
      <c r="M13" s="34"/>
      <c r="N13" s="25"/>
    </row>
    <row r="14" spans="3:14" ht="40.5" customHeight="1">
      <c r="C14" s="33"/>
      <c r="D14" s="215" t="s">
        <v>32</v>
      </c>
      <c r="E14" s="214" t="str">
        <f>'Первый ЭТАП'!E5</f>
        <v>Попов Михаил / Фокина Алла</v>
      </c>
      <c r="F14" s="214"/>
      <c r="G14" s="23">
        <v>8</v>
      </c>
      <c r="H14" s="23">
        <v>7</v>
      </c>
      <c r="I14" s="214" t="str">
        <f>'Первый ЭТАП'!E8</f>
        <v>Еремеев Евгений / Алексеева Елена</v>
      </c>
      <c r="J14" s="214"/>
      <c r="K14" s="25"/>
      <c r="L14" s="25" t="s">
        <v>43</v>
      </c>
      <c r="M14" s="34"/>
      <c r="N14" s="25"/>
    </row>
    <row r="15" spans="3:14" ht="40.5" customHeight="1">
      <c r="C15" s="33"/>
      <c r="D15" s="215"/>
      <c r="E15" s="214" t="str">
        <f>'Первый ЭТАП'!E6</f>
        <v>Домарев Андрей / Сизова Дарья</v>
      </c>
      <c r="F15" s="214"/>
      <c r="G15" s="23">
        <v>9</v>
      </c>
      <c r="H15" s="23">
        <v>1</v>
      </c>
      <c r="I15" s="214" t="str">
        <f>'Первый ЭТАП'!E9</f>
        <v>Чекулаев Михаил / Берсенева Елизавета</v>
      </c>
      <c r="J15" s="214"/>
      <c r="K15" s="25"/>
      <c r="L15" s="25" t="s">
        <v>34</v>
      </c>
      <c r="M15" s="34"/>
      <c r="N15" s="25"/>
    </row>
    <row r="16" spans="3:14" ht="40.5" customHeight="1">
      <c r="C16" s="33"/>
      <c r="D16" s="56"/>
      <c r="E16" s="103"/>
      <c r="F16" s="103"/>
      <c r="G16" s="36"/>
      <c r="H16" s="36"/>
      <c r="I16" s="103"/>
      <c r="J16" s="103"/>
      <c r="K16" s="56"/>
      <c r="L16" s="56"/>
      <c r="M16" s="34"/>
      <c r="N16" s="56"/>
    </row>
    <row r="17" spans="3:14" ht="40.5" customHeight="1">
      <c r="C17" s="33"/>
      <c r="D17" s="215" t="s">
        <v>37</v>
      </c>
      <c r="E17" s="214" t="str">
        <f>'Первый ЭТАП'!E5</f>
        <v>Попов Михаил / Фокина Алла</v>
      </c>
      <c r="F17" s="214"/>
      <c r="G17" s="23">
        <v>9</v>
      </c>
      <c r="H17" s="23">
        <v>5</v>
      </c>
      <c r="I17" s="214" t="str">
        <f>'Первый ЭТАП'!E7</f>
        <v>Ли Александр / Ширяева Елена</v>
      </c>
      <c r="J17" s="214"/>
      <c r="K17" s="56"/>
      <c r="L17" s="56" t="s">
        <v>48</v>
      </c>
      <c r="M17" s="34"/>
      <c r="N17" s="56"/>
    </row>
    <row r="18" spans="3:14" ht="40.5" customHeight="1">
      <c r="C18" s="33"/>
      <c r="D18" s="215"/>
      <c r="E18" s="214" t="str">
        <f>'Первый ЭТАП'!E8</f>
        <v>Еремеев Евгений / Алексеева Елена</v>
      </c>
      <c r="F18" s="214"/>
      <c r="G18" s="23">
        <v>8</v>
      </c>
      <c r="H18" s="23">
        <v>9</v>
      </c>
      <c r="I18" s="214" t="str">
        <f>'Первый ЭТАП'!E9</f>
        <v>Чекулаев Михаил / Берсенева Елизавета</v>
      </c>
      <c r="J18" s="214"/>
      <c r="K18" s="56"/>
      <c r="L18" s="56" t="s">
        <v>26</v>
      </c>
      <c r="M18" s="34"/>
      <c r="N18" s="56"/>
    </row>
    <row r="19" spans="3:14" ht="40.5" customHeight="1">
      <c r="C19" s="33"/>
      <c r="D19" s="56"/>
      <c r="E19" s="103"/>
      <c r="F19" s="103"/>
      <c r="G19" s="36"/>
      <c r="H19" s="36"/>
      <c r="I19" s="103"/>
      <c r="J19" s="103"/>
      <c r="K19" s="56"/>
      <c r="L19" s="56"/>
      <c r="M19" s="34"/>
      <c r="N19" s="56"/>
    </row>
    <row r="20" spans="3:14" ht="40.5" customHeight="1">
      <c r="C20" s="33"/>
      <c r="D20" s="215" t="s">
        <v>42</v>
      </c>
      <c r="E20" s="214" t="str">
        <f>'Первый ЭТАП'!E5</f>
        <v>Попов Михаил / Фокина Алла</v>
      </c>
      <c r="F20" s="214"/>
      <c r="G20" s="23">
        <v>4</v>
      </c>
      <c r="H20" s="23">
        <v>6</v>
      </c>
      <c r="I20" s="214" t="str">
        <f>'Первый ЭТАП'!E6</f>
        <v>Домарев Андрей / Сизова Дарья</v>
      </c>
      <c r="J20" s="214"/>
      <c r="K20" s="56"/>
      <c r="L20" s="56" t="s">
        <v>53</v>
      </c>
      <c r="M20" s="34"/>
      <c r="N20" s="56"/>
    </row>
    <row r="21" spans="3:14" ht="40.5" customHeight="1">
      <c r="C21" s="33"/>
      <c r="D21" s="215"/>
      <c r="E21" s="214" t="str">
        <f>'Первый ЭТАП'!E7</f>
        <v>Ли Александр / Ширяева Елена</v>
      </c>
      <c r="F21" s="214"/>
      <c r="G21" s="23">
        <v>8</v>
      </c>
      <c r="H21" s="23">
        <v>9</v>
      </c>
      <c r="I21" s="214" t="str">
        <f>'Первый ЭТАП'!E8</f>
        <v>Еремеев Евгений / Алексеева Елена</v>
      </c>
      <c r="J21" s="214"/>
      <c r="K21" s="56"/>
      <c r="L21" s="56" t="s">
        <v>54</v>
      </c>
      <c r="M21" s="34"/>
      <c r="N21" s="56"/>
    </row>
    <row r="22" spans="3:14" ht="21" customHeight="1" thickBot="1">
      <c r="C22" s="37"/>
      <c r="D22" s="38"/>
      <c r="E22" s="39"/>
      <c r="F22" s="39"/>
      <c r="G22" s="40"/>
      <c r="H22" s="40"/>
      <c r="I22" s="39"/>
      <c r="J22" s="39"/>
      <c r="K22" s="38"/>
      <c r="L22" s="38"/>
      <c r="M22" s="41"/>
      <c r="N22" s="25"/>
    </row>
    <row r="25" spans="3:14" ht="15.75" thickBot="1"/>
    <row r="26" spans="3:14" ht="20.25">
      <c r="C26" s="28"/>
      <c r="D26" s="29"/>
      <c r="E26" s="30"/>
      <c r="F26" s="30"/>
      <c r="G26" s="31"/>
      <c r="H26" s="31"/>
      <c r="I26" s="30"/>
      <c r="J26" s="30"/>
      <c r="K26" s="29"/>
      <c r="L26" s="29"/>
      <c r="M26" s="32"/>
      <c r="N26" s="56"/>
    </row>
    <row r="27" spans="3:14" ht="20.25">
      <c r="C27" s="33"/>
      <c r="D27" s="216" t="s">
        <v>13</v>
      </c>
      <c r="E27" s="216"/>
      <c r="F27" s="216"/>
      <c r="G27" s="216"/>
      <c r="H27" s="216"/>
      <c r="I27" s="216"/>
      <c r="J27" s="216"/>
      <c r="K27" s="216"/>
      <c r="L27" s="216"/>
      <c r="M27" s="34"/>
      <c r="N27" s="56"/>
    </row>
    <row r="28" spans="3:14" ht="20.25">
      <c r="C28" s="33"/>
      <c r="D28" s="56"/>
      <c r="E28" s="57"/>
      <c r="F28" s="57"/>
      <c r="G28" s="36"/>
      <c r="H28" s="36"/>
      <c r="I28" s="57"/>
      <c r="J28" s="57"/>
      <c r="K28" s="56"/>
      <c r="L28" s="56"/>
      <c r="M28" s="34"/>
      <c r="N28" s="56"/>
    </row>
    <row r="29" spans="3:14" ht="20.25">
      <c r="C29" s="33"/>
      <c r="D29" s="56"/>
      <c r="E29" s="57"/>
      <c r="F29" s="57"/>
      <c r="G29" s="36"/>
      <c r="H29" s="36"/>
      <c r="I29" s="57"/>
      <c r="J29" s="57"/>
      <c r="K29" s="56"/>
      <c r="L29" s="56"/>
      <c r="M29" s="34"/>
      <c r="N29" s="56"/>
    </row>
    <row r="30" spans="3:14" ht="40.5" customHeight="1">
      <c r="C30" s="33"/>
      <c r="D30" s="215" t="s">
        <v>22</v>
      </c>
      <c r="E30" s="214" t="str">
        <f>'Первый ЭТАП'!E15</f>
        <v>Стыкалин Владимир / Шабанова Светлана</v>
      </c>
      <c r="F30" s="214"/>
      <c r="G30" s="23">
        <v>9</v>
      </c>
      <c r="H30" s="23">
        <v>0</v>
      </c>
      <c r="I30" s="214" t="str">
        <f>'Первый ЭТАП'!E17</f>
        <v>Беликов Алексей / Егорова Мария</v>
      </c>
      <c r="J30" s="214"/>
      <c r="K30" s="56"/>
      <c r="L30" s="105" t="s">
        <v>49</v>
      </c>
      <c r="M30" s="34"/>
      <c r="N30" s="56"/>
    </row>
    <row r="31" spans="3:14" ht="60.75" customHeight="1">
      <c r="C31" s="33"/>
      <c r="D31" s="215"/>
      <c r="E31" s="214" t="str">
        <f>'Первый ЭТАП'!E16</f>
        <v>Фахретдинов Фоат / Фахретдинова Джамиля*</v>
      </c>
      <c r="F31" s="214"/>
      <c r="G31" s="23">
        <v>9</v>
      </c>
      <c r="H31" s="23">
        <v>0</v>
      </c>
      <c r="I31" s="214" t="str">
        <f>'Первый ЭТАП'!E18</f>
        <v>Журавлев Сергей / Симутина Елена</v>
      </c>
      <c r="J31" s="214"/>
      <c r="K31" s="56"/>
      <c r="L31" s="105" t="s">
        <v>30</v>
      </c>
      <c r="M31" s="34"/>
      <c r="N31" s="56"/>
    </row>
    <row r="32" spans="3:14" ht="40.5" customHeight="1">
      <c r="C32" s="33"/>
      <c r="D32" s="56"/>
      <c r="E32" s="103"/>
      <c r="F32" s="103"/>
      <c r="G32" s="36"/>
      <c r="H32" s="36"/>
      <c r="I32" s="103"/>
      <c r="J32" s="103"/>
      <c r="K32" s="56"/>
      <c r="L32" s="105"/>
      <c r="M32" s="34"/>
      <c r="N32" s="56"/>
    </row>
    <row r="33" spans="3:14" ht="40.5" customHeight="1">
      <c r="C33" s="33"/>
      <c r="D33" s="215" t="s">
        <v>27</v>
      </c>
      <c r="E33" s="214" t="str">
        <f>'Первый ЭТАП'!E14</f>
        <v>Бурдо Сергей / Шпиленок Лидия</v>
      </c>
      <c r="F33" s="214"/>
      <c r="G33" s="23">
        <v>9</v>
      </c>
      <c r="H33" s="23">
        <v>5</v>
      </c>
      <c r="I33" s="214" t="str">
        <f>'Первый ЭТАП'!E18</f>
        <v>Журавлев Сергей / Симутина Елена</v>
      </c>
      <c r="J33" s="214"/>
      <c r="K33" s="56"/>
      <c r="L33" s="105" t="s">
        <v>38</v>
      </c>
      <c r="M33" s="34"/>
      <c r="N33" s="56"/>
    </row>
    <row r="34" spans="3:14" ht="63" customHeight="1">
      <c r="C34" s="33"/>
      <c r="D34" s="215"/>
      <c r="E34" s="214" t="str">
        <f>'Первый ЭТАП'!E15</f>
        <v>Стыкалин Владимир / Шабанова Светлана</v>
      </c>
      <c r="F34" s="214"/>
      <c r="G34" s="23">
        <v>9</v>
      </c>
      <c r="H34" s="23">
        <v>3</v>
      </c>
      <c r="I34" s="214" t="str">
        <f>'Первый ЭТАП'!E16</f>
        <v>Фахретдинов Фоат / Фахретдинова Джамиля*</v>
      </c>
      <c r="J34" s="214"/>
      <c r="K34" s="56"/>
      <c r="L34" s="105" t="s">
        <v>44</v>
      </c>
      <c r="M34" s="34"/>
      <c r="N34" s="56"/>
    </row>
    <row r="35" spans="3:14" ht="40.5" customHeight="1">
      <c r="C35" s="33"/>
      <c r="D35" s="56"/>
      <c r="E35" s="103"/>
      <c r="F35" s="103"/>
      <c r="G35" s="36"/>
      <c r="H35" s="36"/>
      <c r="I35" s="103"/>
      <c r="J35" s="103"/>
      <c r="K35" s="56"/>
      <c r="L35" s="105"/>
      <c r="M35" s="34"/>
      <c r="N35" s="56"/>
    </row>
    <row r="36" spans="3:14" ht="40.5" customHeight="1">
      <c r="C36" s="33"/>
      <c r="D36" s="215" t="s">
        <v>32</v>
      </c>
      <c r="E36" s="214" t="str">
        <f>'Первый ЭТАП'!E14</f>
        <v>Бурдо Сергей / Шпиленок Лидия</v>
      </c>
      <c r="F36" s="214"/>
      <c r="G36" s="23">
        <v>9</v>
      </c>
      <c r="H36" s="23">
        <v>7</v>
      </c>
      <c r="I36" s="214" t="str">
        <f>'Первый ЭТАП'!E17</f>
        <v>Беликов Алексей / Егорова Мария</v>
      </c>
      <c r="J36" s="214"/>
      <c r="K36" s="56"/>
      <c r="L36" s="105" t="s">
        <v>43</v>
      </c>
      <c r="M36" s="34"/>
      <c r="N36" s="56"/>
    </row>
    <row r="37" spans="3:14" ht="40.5" customHeight="1">
      <c r="C37" s="33"/>
      <c r="D37" s="215"/>
      <c r="E37" s="214" t="str">
        <f>'Первый ЭТАП'!E15</f>
        <v>Стыкалин Владимир / Шабанова Светлана</v>
      </c>
      <c r="F37" s="214"/>
      <c r="G37" s="23">
        <v>9</v>
      </c>
      <c r="H37" s="23">
        <v>1</v>
      </c>
      <c r="I37" s="214" t="str">
        <f>'Первый ЭТАП'!E18</f>
        <v>Журавлев Сергей / Симутина Елена</v>
      </c>
      <c r="J37" s="214"/>
      <c r="K37" s="56"/>
      <c r="L37" s="105" t="s">
        <v>34</v>
      </c>
      <c r="M37" s="34"/>
      <c r="N37" s="56"/>
    </row>
    <row r="38" spans="3:14" ht="40.5" customHeight="1">
      <c r="C38" s="33"/>
      <c r="D38" s="56"/>
      <c r="E38" s="103"/>
      <c r="F38" s="103"/>
      <c r="G38" s="36"/>
      <c r="H38" s="36"/>
      <c r="I38" s="103"/>
      <c r="J38" s="103"/>
      <c r="K38" s="56"/>
      <c r="L38" s="105"/>
      <c r="M38" s="34"/>
      <c r="N38" s="56"/>
    </row>
    <row r="39" spans="3:14" ht="58.5" customHeight="1">
      <c r="C39" s="33"/>
      <c r="D39" s="215" t="s">
        <v>37</v>
      </c>
      <c r="E39" s="214" t="str">
        <f>'Первый ЭТАП'!E14</f>
        <v>Бурдо Сергей / Шпиленок Лидия</v>
      </c>
      <c r="F39" s="214"/>
      <c r="G39" s="23">
        <v>7</v>
      </c>
      <c r="H39" s="23">
        <v>4</v>
      </c>
      <c r="I39" s="214" t="str">
        <f>'Первый ЭТАП'!E16</f>
        <v>Фахретдинов Фоат / Фахретдинова Джамиля*</v>
      </c>
      <c r="J39" s="214"/>
      <c r="K39" s="56"/>
      <c r="L39" s="105" t="s">
        <v>48</v>
      </c>
      <c r="M39" s="34"/>
      <c r="N39" s="56"/>
    </row>
    <row r="40" spans="3:14" ht="40.5" customHeight="1">
      <c r="C40" s="33"/>
      <c r="D40" s="215"/>
      <c r="E40" s="214" t="str">
        <f>'Первый ЭТАП'!E17</f>
        <v>Беликов Алексей / Егорова Мария</v>
      </c>
      <c r="F40" s="214"/>
      <c r="G40" s="23">
        <v>8</v>
      </c>
      <c r="H40" s="23">
        <v>5</v>
      </c>
      <c r="I40" s="214" t="str">
        <f>'Первый ЭТАП'!E18</f>
        <v>Журавлев Сергей / Симутина Елена</v>
      </c>
      <c r="J40" s="214"/>
      <c r="K40" s="56"/>
      <c r="L40" s="105" t="s">
        <v>26</v>
      </c>
      <c r="M40" s="34"/>
      <c r="N40" s="56"/>
    </row>
    <row r="41" spans="3:14" ht="40.5" customHeight="1">
      <c r="C41" s="33"/>
      <c r="D41" s="56"/>
      <c r="E41" s="103"/>
      <c r="F41" s="103"/>
      <c r="G41" s="36"/>
      <c r="H41" s="36"/>
      <c r="I41" s="103"/>
      <c r="J41" s="103"/>
      <c r="K41" s="56"/>
      <c r="L41" s="105"/>
      <c r="M41" s="34"/>
      <c r="N41" s="56"/>
    </row>
    <row r="42" spans="3:14" ht="40.5" customHeight="1">
      <c r="C42" s="33"/>
      <c r="D42" s="215" t="s">
        <v>42</v>
      </c>
      <c r="E42" s="214" t="str">
        <f>'Первый ЭТАП'!E14</f>
        <v>Бурдо Сергей / Шпиленок Лидия</v>
      </c>
      <c r="F42" s="214"/>
      <c r="G42" s="23">
        <v>3</v>
      </c>
      <c r="H42" s="23">
        <v>9</v>
      </c>
      <c r="I42" s="214" t="str">
        <f>'Первый ЭТАП'!E15</f>
        <v>Стыкалин Владимир / Шабанова Светлана</v>
      </c>
      <c r="J42" s="214"/>
      <c r="K42" s="56"/>
      <c r="L42" s="105" t="s">
        <v>53</v>
      </c>
      <c r="M42" s="34"/>
      <c r="N42" s="56"/>
    </row>
    <row r="43" spans="3:14" ht="61.5" customHeight="1">
      <c r="C43" s="33"/>
      <c r="D43" s="215"/>
      <c r="E43" s="214" t="str">
        <f>'Первый ЭТАП'!E16</f>
        <v>Фахретдинов Фоат / Фахретдинова Джамиля*</v>
      </c>
      <c r="F43" s="214"/>
      <c r="G43" s="23">
        <v>9</v>
      </c>
      <c r="H43" s="23">
        <v>5</v>
      </c>
      <c r="I43" s="214" t="str">
        <f>'Первый ЭТАП'!E17</f>
        <v>Беликов Алексей / Егорова Мария</v>
      </c>
      <c r="J43" s="214"/>
      <c r="K43" s="56"/>
      <c r="L43" s="105" t="s">
        <v>54</v>
      </c>
      <c r="M43" s="34"/>
      <c r="N43" s="56"/>
    </row>
    <row r="44" spans="3:14" ht="21" thickBot="1">
      <c r="C44" s="37"/>
      <c r="D44" s="38"/>
      <c r="E44" s="39"/>
      <c r="F44" s="39"/>
      <c r="G44" s="40"/>
      <c r="H44" s="40"/>
      <c r="I44" s="39"/>
      <c r="J44" s="39"/>
      <c r="K44" s="38"/>
      <c r="L44" s="38"/>
      <c r="M44" s="41"/>
      <c r="N44" s="56"/>
    </row>
    <row r="46" spans="3:14" ht="15.75" thickBot="1"/>
    <row r="47" spans="3:14" ht="20.25">
      <c r="C47" s="28"/>
      <c r="D47" s="29"/>
      <c r="E47" s="30"/>
      <c r="F47" s="30"/>
      <c r="G47" s="31"/>
      <c r="H47" s="31"/>
      <c r="I47" s="30"/>
      <c r="J47" s="30"/>
      <c r="K47" s="29"/>
      <c r="L47" s="29"/>
      <c r="M47" s="32"/>
      <c r="N47" s="56"/>
    </row>
    <row r="48" spans="3:14" ht="20.25">
      <c r="C48" s="33"/>
      <c r="D48" s="216" t="s">
        <v>57</v>
      </c>
      <c r="E48" s="216"/>
      <c r="F48" s="216"/>
      <c r="G48" s="216"/>
      <c r="H48" s="216"/>
      <c r="I48" s="216"/>
      <c r="J48" s="216"/>
      <c r="K48" s="216"/>
      <c r="L48" s="216"/>
      <c r="M48" s="34"/>
      <c r="N48" s="56"/>
    </row>
    <row r="49" spans="3:14" ht="20.25">
      <c r="C49" s="33"/>
      <c r="D49" s="56"/>
      <c r="E49" s="57"/>
      <c r="F49" s="57"/>
      <c r="G49" s="36"/>
      <c r="H49" s="36"/>
      <c r="I49" s="57"/>
      <c r="J49" s="57"/>
      <c r="K49" s="56"/>
      <c r="L49" s="56"/>
      <c r="M49" s="34"/>
      <c r="N49" s="56"/>
    </row>
    <row r="50" spans="3:14" ht="20.25">
      <c r="C50" s="33"/>
      <c r="D50" s="56"/>
      <c r="E50" s="57"/>
      <c r="F50" s="57"/>
      <c r="G50" s="36"/>
      <c r="H50" s="36"/>
      <c r="I50" s="57"/>
      <c r="J50" s="57"/>
      <c r="K50" s="56"/>
      <c r="L50" s="56"/>
      <c r="M50" s="34"/>
      <c r="N50" s="56"/>
    </row>
    <row r="51" spans="3:14" ht="40.5" customHeight="1">
      <c r="C51" s="33"/>
      <c r="D51" s="215" t="s">
        <v>22</v>
      </c>
      <c r="E51" s="214" t="str">
        <f>'Первый ЭТАП'!E24</f>
        <v>Попов Иван / Гатайло Светлана</v>
      </c>
      <c r="F51" s="214"/>
      <c r="G51" s="23">
        <v>9</v>
      </c>
      <c r="H51" s="23">
        <v>2</v>
      </c>
      <c r="I51" s="214" t="str">
        <f>'Первый ЭТАП'!E26</f>
        <v>Галанов Михаил / Егорова Злата</v>
      </c>
      <c r="J51" s="214"/>
      <c r="K51" s="56"/>
      <c r="L51" s="105" t="s">
        <v>49</v>
      </c>
      <c r="M51" s="34"/>
      <c r="N51" s="56"/>
    </row>
    <row r="52" spans="3:14" ht="40.5" customHeight="1">
      <c r="C52" s="33"/>
      <c r="D52" s="215"/>
      <c r="E52" s="214" t="str">
        <f>'Первый ЭТАП'!E25</f>
        <v>Саморуков Юрий / Преснякова Елена</v>
      </c>
      <c r="F52" s="214"/>
      <c r="G52" s="23"/>
      <c r="H52" s="23"/>
      <c r="I52" s="214">
        <f>'Первый ЭТАП'!E27</f>
        <v>0</v>
      </c>
      <c r="J52" s="214"/>
      <c r="K52" s="56"/>
      <c r="L52" s="105" t="s">
        <v>30</v>
      </c>
      <c r="M52" s="34"/>
      <c r="N52" s="56"/>
    </row>
    <row r="53" spans="3:14" ht="40.5" customHeight="1">
      <c r="C53" s="33"/>
      <c r="D53" s="56"/>
      <c r="E53" s="103"/>
      <c r="F53" s="103"/>
      <c r="G53" s="36"/>
      <c r="H53" s="36"/>
      <c r="I53" s="103"/>
      <c r="J53" s="103"/>
      <c r="K53" s="56"/>
      <c r="L53" s="105"/>
      <c r="M53" s="34"/>
      <c r="N53" s="56"/>
    </row>
    <row r="54" spans="3:14" ht="40.5" customHeight="1">
      <c r="C54" s="33"/>
      <c r="D54" s="215" t="s">
        <v>27</v>
      </c>
      <c r="E54" s="214" t="str">
        <f>'Первый ЭТАП'!E23</f>
        <v>Андреев Андрей / Ширяева Варвара</v>
      </c>
      <c r="F54" s="214"/>
      <c r="G54" s="23"/>
      <c r="H54" s="23"/>
      <c r="I54" s="214">
        <f>'Первый ЭТАП'!E27</f>
        <v>0</v>
      </c>
      <c r="J54" s="214"/>
      <c r="K54" s="56"/>
      <c r="L54" s="105" t="s">
        <v>38</v>
      </c>
      <c r="M54" s="34"/>
      <c r="N54" s="56"/>
    </row>
    <row r="55" spans="3:14" ht="40.5" customHeight="1">
      <c r="C55" s="33"/>
      <c r="D55" s="215"/>
      <c r="E55" s="214" t="str">
        <f>'Первый ЭТАП'!E24</f>
        <v>Попов Иван / Гатайло Светлана</v>
      </c>
      <c r="F55" s="214"/>
      <c r="G55" s="23">
        <v>9</v>
      </c>
      <c r="H55" s="23">
        <v>2</v>
      </c>
      <c r="I55" s="214" t="str">
        <f>'Первый ЭТАП'!E25</f>
        <v>Саморуков Юрий / Преснякова Елена</v>
      </c>
      <c r="J55" s="214"/>
      <c r="K55" s="56"/>
      <c r="L55" s="105" t="s">
        <v>44</v>
      </c>
      <c r="M55" s="34"/>
      <c r="N55" s="56"/>
    </row>
    <row r="56" spans="3:14" ht="40.5" customHeight="1">
      <c r="C56" s="33"/>
      <c r="D56" s="56"/>
      <c r="E56" s="103"/>
      <c r="F56" s="103"/>
      <c r="G56" s="36"/>
      <c r="H56" s="36"/>
      <c r="I56" s="103"/>
      <c r="J56" s="103"/>
      <c r="K56" s="56"/>
      <c r="L56" s="105"/>
      <c r="M56" s="34"/>
      <c r="N56" s="56"/>
    </row>
    <row r="57" spans="3:14" ht="40.5" customHeight="1">
      <c r="C57" s="33"/>
      <c r="D57" s="215" t="s">
        <v>32</v>
      </c>
      <c r="E57" s="214" t="str">
        <f>'Первый ЭТАП'!E23</f>
        <v>Андреев Андрей / Ширяева Варвара</v>
      </c>
      <c r="F57" s="214"/>
      <c r="G57" s="23">
        <v>8</v>
      </c>
      <c r="H57" s="23">
        <v>6</v>
      </c>
      <c r="I57" s="214" t="str">
        <f>'Первый ЭТАП'!E26</f>
        <v>Галанов Михаил / Егорова Злата</v>
      </c>
      <c r="J57" s="214"/>
      <c r="K57" s="56"/>
      <c r="L57" s="105" t="s">
        <v>43</v>
      </c>
      <c r="M57" s="34"/>
      <c r="N57" s="56"/>
    </row>
    <row r="58" spans="3:14" ht="40.5" customHeight="1">
      <c r="C58" s="33"/>
      <c r="D58" s="215"/>
      <c r="E58" s="214" t="str">
        <f>'Первый ЭТАП'!E24</f>
        <v>Попов Иван / Гатайло Светлана</v>
      </c>
      <c r="F58" s="214"/>
      <c r="G58" s="23"/>
      <c r="H58" s="23"/>
      <c r="I58" s="214">
        <f>'Первый ЭТАП'!E27</f>
        <v>0</v>
      </c>
      <c r="J58" s="214"/>
      <c r="K58" s="56"/>
      <c r="L58" s="105" t="s">
        <v>34</v>
      </c>
      <c r="M58" s="34"/>
      <c r="N58" s="56"/>
    </row>
    <row r="59" spans="3:14" ht="40.5" customHeight="1">
      <c r="C59" s="33"/>
      <c r="D59" s="56"/>
      <c r="E59" s="103"/>
      <c r="F59" s="103"/>
      <c r="G59" s="36"/>
      <c r="H59" s="36"/>
      <c r="I59" s="103"/>
      <c r="J59" s="103"/>
      <c r="K59" s="56"/>
      <c r="L59" s="105"/>
      <c r="M59" s="34"/>
      <c r="N59" s="56"/>
    </row>
    <row r="60" spans="3:14" ht="40.5" customHeight="1">
      <c r="C60" s="33"/>
      <c r="D60" s="215" t="s">
        <v>37</v>
      </c>
      <c r="E60" s="214" t="str">
        <f>E57</f>
        <v>Андреев Андрей / Ширяева Варвара</v>
      </c>
      <c r="F60" s="214"/>
      <c r="G60" s="23">
        <v>9</v>
      </c>
      <c r="H60" s="23">
        <v>0</v>
      </c>
      <c r="I60" s="214" t="str">
        <f>I55</f>
        <v>Саморуков Юрий / Преснякова Елена</v>
      </c>
      <c r="J60" s="214"/>
      <c r="K60" s="56"/>
      <c r="L60" s="105" t="s">
        <v>48</v>
      </c>
      <c r="M60" s="34"/>
      <c r="N60" s="56"/>
    </row>
    <row r="61" spans="3:14" ht="40.5" customHeight="1">
      <c r="C61" s="33"/>
      <c r="D61" s="215"/>
      <c r="E61" s="214" t="str">
        <f>I57</f>
        <v>Галанов Михаил / Егорова Злата</v>
      </c>
      <c r="F61" s="214"/>
      <c r="G61" s="23"/>
      <c r="H61" s="23"/>
      <c r="I61" s="214">
        <f>I54</f>
        <v>0</v>
      </c>
      <c r="J61" s="214"/>
      <c r="K61" s="56"/>
      <c r="L61" s="105" t="s">
        <v>26</v>
      </c>
      <c r="M61" s="34"/>
      <c r="N61" s="56"/>
    </row>
    <row r="62" spans="3:14" ht="40.5" customHeight="1">
      <c r="C62" s="33"/>
      <c r="D62" s="56"/>
      <c r="E62" s="103"/>
      <c r="F62" s="103"/>
      <c r="G62" s="36"/>
      <c r="H62" s="36"/>
      <c r="I62" s="103"/>
      <c r="J62" s="103"/>
      <c r="K62" s="56"/>
      <c r="L62" s="105"/>
      <c r="M62" s="34"/>
      <c r="N62" s="56"/>
    </row>
    <row r="63" spans="3:14" ht="40.5" customHeight="1">
      <c r="C63" s="33"/>
      <c r="D63" s="215" t="s">
        <v>42</v>
      </c>
      <c r="E63" s="214" t="str">
        <f>E60</f>
        <v>Андреев Андрей / Ширяева Варвара</v>
      </c>
      <c r="F63" s="214"/>
      <c r="G63" s="23">
        <v>4</v>
      </c>
      <c r="H63" s="23">
        <v>7</v>
      </c>
      <c r="I63" s="214" t="str">
        <f>E58</f>
        <v>Попов Иван / Гатайло Светлана</v>
      </c>
      <c r="J63" s="214"/>
      <c r="K63" s="56"/>
      <c r="L63" s="105" t="s">
        <v>53</v>
      </c>
      <c r="M63" s="34"/>
      <c r="N63" s="56"/>
    </row>
    <row r="64" spans="3:14" ht="40.5" customHeight="1">
      <c r="C64" s="33"/>
      <c r="D64" s="215"/>
      <c r="E64" s="214" t="str">
        <f>I60</f>
        <v>Саморуков Юрий / Преснякова Елена</v>
      </c>
      <c r="F64" s="214"/>
      <c r="G64" s="23">
        <v>8</v>
      </c>
      <c r="H64" s="23">
        <v>7</v>
      </c>
      <c r="I64" s="214" t="str">
        <f>E61</f>
        <v>Галанов Михаил / Егорова Злата</v>
      </c>
      <c r="J64" s="214"/>
      <c r="K64" s="56"/>
      <c r="L64" s="105" t="s">
        <v>54</v>
      </c>
      <c r="M64" s="34"/>
      <c r="N64" s="56"/>
    </row>
    <row r="65" spans="3:14" ht="21" thickBot="1">
      <c r="C65" s="37"/>
      <c r="D65" s="38"/>
      <c r="E65" s="39"/>
      <c r="F65" s="39"/>
      <c r="G65" s="40"/>
      <c r="H65" s="40"/>
      <c r="I65" s="39"/>
      <c r="J65" s="39"/>
      <c r="K65" s="38"/>
      <c r="L65" s="38"/>
      <c r="M65" s="41"/>
      <c r="N65" s="56"/>
    </row>
    <row r="67" spans="3:14" ht="15.75" thickBot="1"/>
    <row r="68" spans="3:14" ht="20.25">
      <c r="C68" s="28"/>
      <c r="D68" s="29"/>
      <c r="E68" s="30"/>
      <c r="F68" s="30"/>
      <c r="G68" s="31"/>
      <c r="H68" s="31"/>
      <c r="I68" s="30"/>
      <c r="J68" s="30"/>
      <c r="K68" s="29"/>
      <c r="L68" s="29"/>
      <c r="M68" s="32"/>
      <c r="N68" s="56"/>
    </row>
    <row r="69" spans="3:14" ht="20.25">
      <c r="C69" s="33"/>
      <c r="D69" s="216" t="s">
        <v>58</v>
      </c>
      <c r="E69" s="216"/>
      <c r="F69" s="216"/>
      <c r="G69" s="216"/>
      <c r="H69" s="216"/>
      <c r="I69" s="216"/>
      <c r="J69" s="216"/>
      <c r="K69" s="216"/>
      <c r="L69" s="216"/>
      <c r="M69" s="34"/>
      <c r="N69" s="56"/>
    </row>
    <row r="70" spans="3:14" ht="20.25">
      <c r="C70" s="33"/>
      <c r="D70" s="56"/>
      <c r="E70" s="57"/>
      <c r="F70" s="57"/>
      <c r="G70" s="36"/>
      <c r="H70" s="36"/>
      <c r="I70" s="57"/>
      <c r="J70" s="57"/>
      <c r="K70" s="56"/>
      <c r="L70" s="56"/>
      <c r="M70" s="34"/>
      <c r="N70" s="56"/>
    </row>
    <row r="71" spans="3:14" ht="20.25">
      <c r="C71" s="33"/>
      <c r="D71" s="56"/>
      <c r="E71" s="57"/>
      <c r="F71" s="57"/>
      <c r="G71" s="36"/>
      <c r="H71" s="36"/>
      <c r="I71" s="57"/>
      <c r="J71" s="57"/>
      <c r="K71" s="56"/>
      <c r="L71" s="56"/>
      <c r="M71" s="34"/>
      <c r="N71" s="56"/>
    </row>
    <row r="72" spans="3:14" ht="40.5" customHeight="1">
      <c r="C72" s="33"/>
      <c r="D72" s="215" t="s">
        <v>22</v>
      </c>
      <c r="E72" s="214" t="str">
        <f>'Первый ЭТАП'!E33</f>
        <v>Дуплякин Юрий / Дуплякина Анна</v>
      </c>
      <c r="F72" s="214"/>
      <c r="G72" s="23"/>
      <c r="H72" s="23"/>
      <c r="I72" s="214">
        <f>'Первый ЭТАП'!E35</f>
        <v>0</v>
      </c>
      <c r="J72" s="214"/>
      <c r="K72" s="56"/>
      <c r="L72" s="105" t="s">
        <v>49</v>
      </c>
      <c r="M72" s="34"/>
      <c r="N72" s="56"/>
    </row>
    <row r="73" spans="3:14" ht="40.5" customHeight="1">
      <c r="C73" s="33"/>
      <c r="D73" s="215"/>
      <c r="E73" s="214" t="str">
        <f>'Первый ЭТАП'!E34</f>
        <v>Лукин Сергей / Князева Елена</v>
      </c>
      <c r="F73" s="214"/>
      <c r="G73" s="23">
        <v>9</v>
      </c>
      <c r="H73" s="23">
        <v>0</v>
      </c>
      <c r="I73" s="214" t="str">
        <f>'Первый ЭТАП'!E36</f>
        <v>Карпов Илья / Егорова Анна</v>
      </c>
      <c r="J73" s="214"/>
      <c r="K73" s="56"/>
      <c r="L73" s="105" t="s">
        <v>30</v>
      </c>
      <c r="M73" s="34"/>
      <c r="N73" s="56"/>
    </row>
    <row r="74" spans="3:14" ht="40.5" customHeight="1">
      <c r="C74" s="33"/>
      <c r="D74" s="56"/>
      <c r="E74" s="103"/>
      <c r="F74" s="103"/>
      <c r="G74" s="36"/>
      <c r="H74" s="36"/>
      <c r="I74" s="103"/>
      <c r="J74" s="103"/>
      <c r="K74" s="56"/>
      <c r="L74" s="105"/>
      <c r="M74" s="34"/>
      <c r="N74" s="56"/>
    </row>
    <row r="75" spans="3:14" ht="40.5" customHeight="1">
      <c r="C75" s="33"/>
      <c r="D75" s="215" t="s">
        <v>27</v>
      </c>
      <c r="E75" s="214" t="str">
        <f>'Первый ЭТАП'!E32</f>
        <v>Попов Дмитрий / Ерасова Екатерина</v>
      </c>
      <c r="F75" s="214"/>
      <c r="G75" s="23">
        <v>9</v>
      </c>
      <c r="H75" s="23">
        <v>1</v>
      </c>
      <c r="I75" s="214" t="str">
        <f>'Первый ЭТАП'!E36</f>
        <v>Карпов Илья / Егорова Анна</v>
      </c>
      <c r="J75" s="214"/>
      <c r="K75" s="56"/>
      <c r="L75" s="105" t="s">
        <v>38</v>
      </c>
      <c r="M75" s="34"/>
      <c r="N75" s="56"/>
    </row>
    <row r="76" spans="3:14" ht="40.5" customHeight="1">
      <c r="C76" s="33"/>
      <c r="D76" s="215"/>
      <c r="E76" s="214" t="str">
        <f>'Первый ЭТАП'!E33</f>
        <v>Дуплякин Юрий / Дуплякина Анна</v>
      </c>
      <c r="F76" s="214"/>
      <c r="G76" s="23">
        <v>4</v>
      </c>
      <c r="H76" s="23">
        <v>8</v>
      </c>
      <c r="I76" s="214" t="str">
        <f>'Первый ЭТАП'!E34</f>
        <v>Лукин Сергей / Князева Елена</v>
      </c>
      <c r="J76" s="214"/>
      <c r="K76" s="56"/>
      <c r="L76" s="105" t="s">
        <v>44</v>
      </c>
      <c r="M76" s="34"/>
      <c r="N76" s="56"/>
    </row>
    <row r="77" spans="3:14" ht="40.5" customHeight="1">
      <c r="C77" s="33"/>
      <c r="D77" s="56"/>
      <c r="E77" s="103"/>
      <c r="F77" s="103"/>
      <c r="G77" s="36"/>
      <c r="H77" s="36"/>
      <c r="I77" s="103"/>
      <c r="J77" s="103"/>
      <c r="K77" s="56"/>
      <c r="L77" s="105"/>
      <c r="M77" s="34"/>
      <c r="N77" s="56"/>
    </row>
    <row r="78" spans="3:14" ht="40.5" customHeight="1">
      <c r="C78" s="33"/>
      <c r="D78" s="215" t="s">
        <v>32</v>
      </c>
      <c r="E78" s="214" t="str">
        <f>'Первый ЭТАП'!E32</f>
        <v>Попов Дмитрий / Ерасова Екатерина</v>
      </c>
      <c r="F78" s="214"/>
      <c r="G78" s="23"/>
      <c r="H78" s="23"/>
      <c r="I78" s="214">
        <f>I72</f>
        <v>0</v>
      </c>
      <c r="J78" s="214"/>
      <c r="K78" s="56"/>
      <c r="L78" s="105" t="s">
        <v>43</v>
      </c>
      <c r="M78" s="34"/>
      <c r="N78" s="56"/>
    </row>
    <row r="79" spans="3:14" ht="40.5" customHeight="1">
      <c r="C79" s="33"/>
      <c r="D79" s="215"/>
      <c r="E79" s="214" t="str">
        <f>E72</f>
        <v>Дуплякин Юрий / Дуплякина Анна</v>
      </c>
      <c r="F79" s="214"/>
      <c r="G79" s="23">
        <v>9</v>
      </c>
      <c r="H79" s="23">
        <v>0</v>
      </c>
      <c r="I79" s="214" t="str">
        <f>I73</f>
        <v>Карпов Илья / Егорова Анна</v>
      </c>
      <c r="J79" s="214"/>
      <c r="K79" s="56"/>
      <c r="L79" s="105" t="s">
        <v>34</v>
      </c>
      <c r="M79" s="34"/>
      <c r="N79" s="56"/>
    </row>
    <row r="80" spans="3:14" ht="40.5" customHeight="1">
      <c r="C80" s="33"/>
      <c r="D80" s="56"/>
      <c r="E80" s="103"/>
      <c r="F80" s="103"/>
      <c r="G80" s="36"/>
      <c r="H80" s="36"/>
      <c r="I80" s="103"/>
      <c r="J80" s="103"/>
      <c r="K80" s="56"/>
      <c r="L80" s="105"/>
      <c r="M80" s="34"/>
      <c r="N80" s="56"/>
    </row>
    <row r="81" spans="3:14" ht="40.5" customHeight="1">
      <c r="C81" s="33"/>
      <c r="D81" s="215" t="s">
        <v>37</v>
      </c>
      <c r="E81" s="214" t="str">
        <f>E78</f>
        <v>Попов Дмитрий / Ерасова Екатерина</v>
      </c>
      <c r="F81" s="214"/>
      <c r="G81" s="23">
        <v>9</v>
      </c>
      <c r="H81" s="23">
        <v>7</v>
      </c>
      <c r="I81" s="214" t="str">
        <f>I76</f>
        <v>Лукин Сергей / Князева Елена</v>
      </c>
      <c r="J81" s="214"/>
      <c r="K81" s="56"/>
      <c r="L81" s="105" t="s">
        <v>48</v>
      </c>
      <c r="M81" s="34"/>
      <c r="N81" s="56"/>
    </row>
    <row r="82" spans="3:14" ht="40.5" customHeight="1">
      <c r="C82" s="33"/>
      <c r="D82" s="215"/>
      <c r="E82" s="214">
        <f>I78</f>
        <v>0</v>
      </c>
      <c r="F82" s="214"/>
      <c r="G82" s="23"/>
      <c r="H82" s="23"/>
      <c r="I82" s="214" t="str">
        <f>I79</f>
        <v>Карпов Илья / Егорова Анна</v>
      </c>
      <c r="J82" s="214"/>
      <c r="K82" s="56"/>
      <c r="L82" s="105" t="s">
        <v>26</v>
      </c>
      <c r="M82" s="34"/>
      <c r="N82" s="56"/>
    </row>
    <row r="83" spans="3:14" ht="40.5" customHeight="1">
      <c r="C83" s="33"/>
      <c r="D83" s="56"/>
      <c r="E83" s="103"/>
      <c r="F83" s="103"/>
      <c r="G83" s="36"/>
      <c r="H83" s="36"/>
      <c r="I83" s="103"/>
      <c r="J83" s="103"/>
      <c r="K83" s="56"/>
      <c r="L83" s="105"/>
      <c r="M83" s="34"/>
      <c r="N83" s="56"/>
    </row>
    <row r="84" spans="3:14" ht="40.5" customHeight="1">
      <c r="C84" s="33"/>
      <c r="D84" s="215" t="s">
        <v>42</v>
      </c>
      <c r="E84" s="214" t="str">
        <f>E78</f>
        <v>Попов Дмитрий / Ерасова Екатерина</v>
      </c>
      <c r="F84" s="214"/>
      <c r="G84" s="23">
        <v>6</v>
      </c>
      <c r="H84" s="23">
        <v>4</v>
      </c>
      <c r="I84" s="214" t="str">
        <f>E72</f>
        <v>Дуплякин Юрий / Дуплякина Анна</v>
      </c>
      <c r="J84" s="214"/>
      <c r="K84" s="56"/>
      <c r="L84" s="105" t="s">
        <v>53</v>
      </c>
      <c r="M84" s="34"/>
      <c r="N84" s="56"/>
    </row>
    <row r="85" spans="3:14" ht="40.5" customHeight="1">
      <c r="C85" s="33"/>
      <c r="D85" s="215"/>
      <c r="E85" s="214" t="str">
        <f>I81</f>
        <v>Лукин Сергей / Князева Елена</v>
      </c>
      <c r="F85" s="214"/>
      <c r="G85" s="23"/>
      <c r="H85" s="23"/>
      <c r="I85" s="214">
        <f>I78</f>
        <v>0</v>
      </c>
      <c r="J85" s="214"/>
      <c r="K85" s="56"/>
      <c r="L85" s="105" t="s">
        <v>54</v>
      </c>
      <c r="M85" s="34"/>
      <c r="N85" s="56"/>
    </row>
    <row r="86" spans="3:14" ht="20.25" customHeight="1" thickBot="1">
      <c r="C86" s="37"/>
      <c r="D86" s="38"/>
      <c r="E86" s="39"/>
      <c r="F86" s="39"/>
      <c r="G86" s="40"/>
      <c r="H86" s="40"/>
      <c r="I86" s="39"/>
      <c r="J86" s="39"/>
      <c r="K86" s="38"/>
      <c r="L86" s="38"/>
      <c r="M86" s="41"/>
      <c r="N86" s="56"/>
    </row>
    <row r="88" spans="3:14" ht="15.75" thickBot="1"/>
    <row r="89" spans="3:14" ht="15" customHeight="1">
      <c r="D89" s="217" t="s">
        <v>185</v>
      </c>
      <c r="E89" s="218"/>
      <c r="F89" s="218"/>
      <c r="G89" s="218"/>
      <c r="H89" s="218"/>
      <c r="I89" s="218"/>
      <c r="J89" s="218"/>
      <c r="K89" s="218"/>
      <c r="L89" s="218"/>
      <c r="M89" s="219"/>
    </row>
    <row r="90" spans="3:14" ht="15" customHeight="1">
      <c r="D90" s="220"/>
      <c r="E90" s="221"/>
      <c r="F90" s="221"/>
      <c r="G90" s="221"/>
      <c r="H90" s="221"/>
      <c r="I90" s="221"/>
      <c r="J90" s="221"/>
      <c r="K90" s="221"/>
      <c r="L90" s="221"/>
      <c r="M90" s="222"/>
    </row>
    <row r="91" spans="3:14" ht="15" customHeight="1">
      <c r="D91" s="223" t="s">
        <v>186</v>
      </c>
      <c r="E91" s="224"/>
      <c r="F91" s="224"/>
      <c r="G91" s="224"/>
      <c r="H91" s="224"/>
      <c r="I91" s="224"/>
      <c r="J91" s="224"/>
      <c r="K91" s="224"/>
      <c r="L91" s="224"/>
      <c r="M91" s="225"/>
    </row>
    <row r="92" spans="3:14" ht="15" customHeight="1">
      <c r="D92" s="223"/>
      <c r="E92" s="224"/>
      <c r="F92" s="224"/>
      <c r="G92" s="224"/>
      <c r="H92" s="224"/>
      <c r="I92" s="224"/>
      <c r="J92" s="224"/>
      <c r="K92" s="224"/>
      <c r="L92" s="224"/>
      <c r="M92" s="225"/>
    </row>
    <row r="93" spans="3:14" ht="15" customHeight="1">
      <c r="D93" s="223" t="s">
        <v>187</v>
      </c>
      <c r="E93" s="224"/>
      <c r="F93" s="224"/>
      <c r="G93" s="224"/>
      <c r="H93" s="224"/>
      <c r="I93" s="224"/>
      <c r="J93" s="224"/>
      <c r="K93" s="224"/>
      <c r="L93" s="224"/>
      <c r="M93" s="225"/>
    </row>
    <row r="94" spans="3:14" ht="15" customHeight="1">
      <c r="D94" s="223"/>
      <c r="E94" s="224"/>
      <c r="F94" s="224"/>
      <c r="G94" s="224"/>
      <c r="H94" s="224"/>
      <c r="I94" s="224"/>
      <c r="J94" s="224"/>
      <c r="K94" s="224"/>
      <c r="L94" s="224"/>
      <c r="M94" s="225"/>
    </row>
    <row r="95" spans="3:14" ht="15" customHeight="1">
      <c r="D95" s="223" t="s">
        <v>188</v>
      </c>
      <c r="E95" s="224"/>
      <c r="F95" s="224"/>
      <c r="G95" s="224"/>
      <c r="H95" s="224"/>
      <c r="I95" s="224"/>
      <c r="J95" s="224"/>
      <c r="K95" s="224"/>
      <c r="L95" s="224"/>
      <c r="M95" s="225"/>
    </row>
    <row r="96" spans="3:14" ht="15" customHeight="1">
      <c r="D96" s="223"/>
      <c r="E96" s="224"/>
      <c r="F96" s="224"/>
      <c r="G96" s="224"/>
      <c r="H96" s="224"/>
      <c r="I96" s="224"/>
      <c r="J96" s="224"/>
      <c r="K96" s="224"/>
      <c r="L96" s="224"/>
      <c r="M96" s="225"/>
    </row>
    <row r="97" spans="4:13" ht="15" customHeight="1" thickBot="1">
      <c r="D97" s="92"/>
      <c r="E97" s="93"/>
      <c r="F97" s="93"/>
      <c r="G97" s="93"/>
      <c r="H97" s="93"/>
      <c r="I97" s="93"/>
      <c r="J97" s="93"/>
      <c r="K97" s="93"/>
      <c r="L97" s="93"/>
      <c r="M97" s="94"/>
    </row>
    <row r="98" spans="4:13" ht="15" customHeight="1"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4:13" ht="15" customHeight="1"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4:13" ht="15" customHeight="1"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4:13" ht="15" customHeight="1"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</sheetData>
  <sheetProtection sheet="1" objects="1" scenarios="1"/>
  <mergeCells count="108">
    <mergeCell ref="D89:M90"/>
    <mergeCell ref="D91:M92"/>
    <mergeCell ref="D93:M94"/>
    <mergeCell ref="D95:M96"/>
    <mergeCell ref="D48:L48"/>
    <mergeCell ref="D51:D52"/>
    <mergeCell ref="E51:F51"/>
    <mergeCell ref="I51:J51"/>
    <mergeCell ref="D54:D55"/>
    <mergeCell ref="E54:F54"/>
    <mergeCell ref="I54:J54"/>
    <mergeCell ref="E64:F64"/>
    <mergeCell ref="I64:J64"/>
    <mergeCell ref="D63:D64"/>
    <mergeCell ref="E63:F63"/>
    <mergeCell ref="I63:J63"/>
    <mergeCell ref="E55:F55"/>
    <mergeCell ref="I55:J55"/>
    <mergeCell ref="E52:F52"/>
    <mergeCell ref="I52:J52"/>
    <mergeCell ref="E75:F75"/>
    <mergeCell ref="I75:J75"/>
    <mergeCell ref="D75:D76"/>
    <mergeCell ref="E76:F76"/>
    <mergeCell ref="D42:D43"/>
    <mergeCell ref="E42:F42"/>
    <mergeCell ref="I42:J42"/>
    <mergeCell ref="E43:F43"/>
    <mergeCell ref="I43:J43"/>
    <mergeCell ref="D20:D21"/>
    <mergeCell ref="E20:F20"/>
    <mergeCell ref="E21:F21"/>
    <mergeCell ref="E84:F84"/>
    <mergeCell ref="I84:J84"/>
    <mergeCell ref="D84:D85"/>
    <mergeCell ref="E85:F85"/>
    <mergeCell ref="I85:J85"/>
    <mergeCell ref="E61:F61"/>
    <mergeCell ref="I61:J61"/>
    <mergeCell ref="D60:D61"/>
    <mergeCell ref="E60:F60"/>
    <mergeCell ref="I60:J60"/>
    <mergeCell ref="D39:D40"/>
    <mergeCell ref="E39:F39"/>
    <mergeCell ref="I39:J39"/>
    <mergeCell ref="E40:F40"/>
    <mergeCell ref="I40:J40"/>
    <mergeCell ref="I20:J20"/>
    <mergeCell ref="D5:L5"/>
    <mergeCell ref="D17:D18"/>
    <mergeCell ref="E17:F17"/>
    <mergeCell ref="I17:J17"/>
    <mergeCell ref="E18:F18"/>
    <mergeCell ref="I18:J18"/>
    <mergeCell ref="D8:D9"/>
    <mergeCell ref="E8:F8"/>
    <mergeCell ref="I8:J8"/>
    <mergeCell ref="E9:F9"/>
    <mergeCell ref="I9:J9"/>
    <mergeCell ref="I21:J21"/>
    <mergeCell ref="D14:D15"/>
    <mergeCell ref="E14:F14"/>
    <mergeCell ref="I14:J14"/>
    <mergeCell ref="D11:D12"/>
    <mergeCell ref="E15:F15"/>
    <mergeCell ref="I15:J15"/>
    <mergeCell ref="E12:F12"/>
    <mergeCell ref="I12:J12"/>
    <mergeCell ref="E11:F11"/>
    <mergeCell ref="I11:J11"/>
    <mergeCell ref="D36:D37"/>
    <mergeCell ref="E36:F36"/>
    <mergeCell ref="I36:J36"/>
    <mergeCell ref="E37:F37"/>
    <mergeCell ref="I37:J37"/>
    <mergeCell ref="D27:L27"/>
    <mergeCell ref="D30:D31"/>
    <mergeCell ref="D33:D34"/>
    <mergeCell ref="E33:F33"/>
    <mergeCell ref="I33:J33"/>
    <mergeCell ref="E34:F34"/>
    <mergeCell ref="I34:J34"/>
    <mergeCell ref="I31:J31"/>
    <mergeCell ref="E31:F31"/>
    <mergeCell ref="E30:F30"/>
    <mergeCell ref="I30:J30"/>
    <mergeCell ref="I76:J76"/>
    <mergeCell ref="E58:F58"/>
    <mergeCell ref="I58:J58"/>
    <mergeCell ref="D57:D58"/>
    <mergeCell ref="E57:F57"/>
    <mergeCell ref="I57:J57"/>
    <mergeCell ref="D69:L69"/>
    <mergeCell ref="D72:D73"/>
    <mergeCell ref="E72:F72"/>
    <mergeCell ref="I72:J72"/>
    <mergeCell ref="E73:F73"/>
    <mergeCell ref="I73:J73"/>
    <mergeCell ref="E81:F81"/>
    <mergeCell ref="I81:J81"/>
    <mergeCell ref="D81:D82"/>
    <mergeCell ref="E82:F82"/>
    <mergeCell ref="I82:J82"/>
    <mergeCell ref="E78:F78"/>
    <mergeCell ref="I78:J78"/>
    <mergeCell ref="D78:D79"/>
    <mergeCell ref="E79:F79"/>
    <mergeCell ref="I79:J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C1:AW48"/>
  <sheetViews>
    <sheetView showZeros="0" tabSelected="1" zoomScale="55" zoomScaleNormal="55" workbookViewId="0">
      <selection activeCell="AA9" sqref="AA9"/>
    </sheetView>
  </sheetViews>
  <sheetFormatPr defaultColWidth="9.140625" defaultRowHeight="15"/>
  <cols>
    <col min="1" max="6" width="9.140625" style="27"/>
    <col min="7" max="7" width="32.28515625" style="27" customWidth="1"/>
    <col min="8" max="28" width="8.7109375" style="27" customWidth="1"/>
    <col min="29" max="31" width="9.140625" style="27"/>
    <col min="32" max="40" width="9.140625" style="67"/>
    <col min="41" max="16384" width="9.140625" style="27"/>
  </cols>
  <sheetData>
    <row r="1" spans="5:49"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5:49"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5:49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64"/>
      <c r="AE3" s="64"/>
      <c r="AF3" s="68"/>
      <c r="AG3" s="68"/>
      <c r="AH3" s="68"/>
      <c r="AI3" s="68"/>
      <c r="AJ3" s="68"/>
      <c r="AK3" s="68"/>
      <c r="AL3" s="68"/>
      <c r="AM3" s="68"/>
      <c r="AN3" s="68"/>
      <c r="AO3" s="64"/>
      <c r="AP3" s="64"/>
      <c r="AQ3" s="64"/>
      <c r="AR3" s="64"/>
      <c r="AS3" s="64"/>
      <c r="AT3" s="64"/>
      <c r="AU3" s="64"/>
      <c r="AV3" s="64"/>
      <c r="AW3" s="64"/>
    </row>
    <row r="4" spans="5:49" ht="18.75"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65"/>
      <c r="AE4" s="65"/>
      <c r="AF4" s="69"/>
      <c r="AG4" s="69"/>
      <c r="AH4" s="69"/>
      <c r="AI4" s="69"/>
      <c r="AJ4" s="69"/>
      <c r="AK4" s="69"/>
      <c r="AL4" s="69"/>
      <c r="AM4" s="69"/>
      <c r="AN4" s="69"/>
      <c r="AO4" s="64"/>
      <c r="AP4" s="64"/>
      <c r="AQ4" s="64"/>
      <c r="AR4" s="64"/>
      <c r="AS4" s="64"/>
      <c r="AT4" s="64"/>
      <c r="AU4" s="64"/>
      <c r="AV4" s="64"/>
      <c r="AW4" s="64"/>
    </row>
    <row r="5" spans="5:49" ht="35.25" thickBot="1">
      <c r="E5" s="11"/>
      <c r="F5" s="228" t="s">
        <v>11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11"/>
      <c r="AD5" s="65"/>
      <c r="AE5" s="65"/>
      <c r="AF5" s="69"/>
      <c r="AG5" s="69"/>
      <c r="AH5" s="69"/>
      <c r="AI5" s="69"/>
      <c r="AJ5" s="69"/>
      <c r="AK5" s="69"/>
      <c r="AL5" s="69"/>
      <c r="AM5" s="69"/>
      <c r="AN5" s="69"/>
      <c r="AO5" s="64"/>
      <c r="AP5" s="64"/>
      <c r="AQ5" s="64"/>
      <c r="AR5" s="64"/>
      <c r="AS5" s="64"/>
      <c r="AT5" s="64"/>
      <c r="AU5" s="64"/>
      <c r="AV5" s="64"/>
      <c r="AW5" s="64"/>
    </row>
    <row r="6" spans="5:49" ht="24" thickBot="1">
      <c r="E6" s="129"/>
      <c r="F6" s="130" t="s">
        <v>0</v>
      </c>
      <c r="G6" s="131" t="s">
        <v>6</v>
      </c>
      <c r="H6" s="229">
        <v>1</v>
      </c>
      <c r="I6" s="230"/>
      <c r="J6" s="229">
        <v>2</v>
      </c>
      <c r="K6" s="230"/>
      <c r="L6" s="229">
        <v>3</v>
      </c>
      <c r="M6" s="230"/>
      <c r="N6" s="229">
        <v>4</v>
      </c>
      <c r="O6" s="230"/>
      <c r="P6" s="229">
        <v>5</v>
      </c>
      <c r="Q6" s="230"/>
      <c r="R6" s="229">
        <v>6</v>
      </c>
      <c r="S6" s="230"/>
      <c r="T6" s="229">
        <v>7</v>
      </c>
      <c r="U6" s="230"/>
      <c r="V6" s="229">
        <v>8</v>
      </c>
      <c r="W6" s="230"/>
      <c r="X6" s="131" t="s">
        <v>7</v>
      </c>
      <c r="Y6" s="231" t="s">
        <v>9</v>
      </c>
      <c r="Z6" s="232"/>
      <c r="AA6" s="131" t="s">
        <v>59</v>
      </c>
      <c r="AB6" s="131" t="s">
        <v>8</v>
      </c>
      <c r="AC6" s="11"/>
      <c r="AD6" s="65"/>
      <c r="AE6" s="65"/>
      <c r="AF6" s="69"/>
      <c r="AG6" s="69"/>
      <c r="AH6" s="69"/>
      <c r="AI6" s="69"/>
      <c r="AJ6" s="69"/>
      <c r="AK6" s="69"/>
      <c r="AL6" s="69"/>
      <c r="AM6" s="69"/>
      <c r="AN6" s="69"/>
      <c r="AO6" s="64"/>
      <c r="AP6" s="64"/>
      <c r="AQ6" s="64"/>
      <c r="AR6" s="64"/>
      <c r="AS6" s="64"/>
      <c r="AT6" s="64"/>
      <c r="AU6" s="64"/>
      <c r="AV6" s="64"/>
      <c r="AW6" s="64"/>
    </row>
    <row r="7" spans="5:49" ht="48.95" customHeight="1" thickBot="1">
      <c r="E7" s="129">
        <v>1</v>
      </c>
      <c r="F7" s="131" t="s">
        <v>14</v>
      </c>
      <c r="G7" s="132" t="str">
        <f>IF('Первый ЭТАП'!T5=1,'Первый ЭТАП'!E5,IF('Первый ЭТАП'!T6=1,'Первый ЭТАП'!E6,IF('Первый ЭТАП'!T7=1,'Первый ЭТАП'!E7,IF('Первый ЭТАП'!T8=1,'Первый ЭТАП'!E8,IF('Первый ЭТАП'!T9=1,'Первый ЭТАП'!E9)))))</f>
        <v>Домарев Андрей / Сизова Дарья</v>
      </c>
      <c r="H7" s="233"/>
      <c r="I7" s="234"/>
      <c r="J7" s="133">
        <f>'Расписание игр Этапа 2'!G37</f>
        <v>5</v>
      </c>
      <c r="K7" s="134">
        <f>'Расписание игр Этапа 2'!H37</f>
        <v>7</v>
      </c>
      <c r="L7" s="133">
        <f>'Расписание игр Этапа 2'!G32</f>
        <v>5</v>
      </c>
      <c r="M7" s="134">
        <f>'Расписание игр Этапа 2'!H32</f>
        <v>7</v>
      </c>
      <c r="N7" s="133">
        <f>'Расписание игр Этапа 2'!G27</f>
        <v>9</v>
      </c>
      <c r="O7" s="134">
        <f>'Расписание игр Этапа 2'!H27</f>
        <v>0</v>
      </c>
      <c r="P7" s="133">
        <f>'Расписание игр Этапа 2'!G22</f>
        <v>3</v>
      </c>
      <c r="Q7" s="134">
        <f>'Расписание игр Этапа 2'!H22</f>
        <v>8</v>
      </c>
      <c r="R7" s="133">
        <f>'Расписание игр Этапа 2'!G17</f>
        <v>4</v>
      </c>
      <c r="S7" s="134">
        <f>'Расписание игр Этапа 2'!H17</f>
        <v>9</v>
      </c>
      <c r="T7" s="133">
        <f>'Расписание игр Этапа 2'!G12</f>
        <v>4</v>
      </c>
      <c r="U7" s="134">
        <f>'Расписание игр Этапа 2'!H12</f>
        <v>9</v>
      </c>
      <c r="V7" s="133">
        <f>'Расписание игр Этапа 2'!G7</f>
        <v>2</v>
      </c>
      <c r="W7" s="134">
        <f>'Расписание игр Этапа 2'!H7</f>
        <v>9</v>
      </c>
      <c r="X7" s="135">
        <f>SUM(IF((J7-K7)&gt;0,1,0),IF((L7-M7)&gt;0,1,0),IF((N7-O7)&gt;0,1,0),IF((P7-Q7)&gt;0,1,0),IF((R7-S7)&gt;0,1,0),IF((T7-U7)&gt;0,1,0),IF((V7-W7)&gt;0,1,0))</f>
        <v>1</v>
      </c>
      <c r="Y7" s="174">
        <f>SUM(J7,L7,N7,P7,R7,T7,V7)</f>
        <v>32</v>
      </c>
      <c r="Z7" s="175">
        <f>SUM(K7,M7,O7,Q7,S7,U7,W7)</f>
        <v>49</v>
      </c>
      <c r="AA7" s="136"/>
      <c r="AB7" s="135">
        <f t="shared" ref="AB7:AB14" si="0">8-AQ7</f>
        <v>7</v>
      </c>
      <c r="AC7" s="11"/>
      <c r="AD7" s="65"/>
      <c r="AE7" s="65"/>
      <c r="AF7" s="69">
        <f>SUM(IF((X7-X8)&gt;0,1,0),IF((X7-X9)&gt;0,1,0),IF((X7-X10)&gt;0,1,0),IF((X7-X11)&gt;0,1,0),IF((X7-X12)&gt;0,1,0),IF((X7-X13)&gt;0,1,0),IF((X7-X14)&gt;0,1,0))</f>
        <v>1</v>
      </c>
      <c r="AG7" s="69"/>
      <c r="AH7" s="69">
        <f>IF($AF$8-AF7=0,(IF($AA$8-AA7&lt;0,$AF$8-1,$AF$8)),$AF$8)</f>
        <v>3</v>
      </c>
      <c r="AI7" s="69">
        <f>IF($AF$9-AF7=0,(IF($AA$9-AA7&lt;0,$AF$9-1,$AF$9)),$AF$9)</f>
        <v>5</v>
      </c>
      <c r="AJ7" s="69">
        <f>IF($AF$10-AF7=0,(IF($AA$10-AA7&lt;0,$AF$10-1,$AF$10)),$AF$10)</f>
        <v>0</v>
      </c>
      <c r="AK7" s="69">
        <f>IF($AF$11-AF7=0,(IF($AA$11-AA7&lt;0,$AF$11-1,$AF$11)),$AF$11)</f>
        <v>6</v>
      </c>
      <c r="AL7" s="69">
        <f>IF($AF$12-AF7=0,(IF($AA$12-AA7&lt;0,$AF$12-1,$AF$12)),$AF$12)</f>
        <v>3</v>
      </c>
      <c r="AM7" s="69">
        <f>IF($AF$13-AF7=0,(IF($AA$13-AA7&lt;0,$AF$13-1,$AF$13)),$AF$13)</f>
        <v>6</v>
      </c>
      <c r="AN7" s="69">
        <f>IF($AF$14-AF7=0,(IF($AA$14-AA7&lt;0,$AF$14-1,$AF$14)),$AF$14)</f>
        <v>2</v>
      </c>
      <c r="AO7" s="64"/>
      <c r="AP7" s="64"/>
      <c r="AQ7" s="65">
        <f>SUM(IF((AG15-AH15)&gt;0,1,0),IF((AG15-AI15)&gt;0,1,0),IF((AG15-AJ15)&gt;0,1,0),IF((AG15-AK15)&gt;0,1,0),IF((AG15-AL15)&gt;0,1,0),IF((AG15-AM15)&gt;0,1,0),IF((AG15-AN15)&gt;0,1,0))</f>
        <v>1</v>
      </c>
      <c r="AR7" s="64"/>
      <c r="AS7" s="64"/>
      <c r="AT7" s="64"/>
      <c r="AU7" s="64"/>
      <c r="AV7" s="64"/>
      <c r="AW7" s="64"/>
    </row>
    <row r="8" spans="5:49" ht="48.95" customHeight="1" thickBot="1">
      <c r="E8" s="129">
        <v>2</v>
      </c>
      <c r="F8" s="131" t="s">
        <v>15</v>
      </c>
      <c r="G8" s="137" t="str">
        <f>IF('Первый ЭТАП'!T14=1,'Первый ЭТАП'!E14,IF('Первый ЭТАП'!T15=1,'Первый ЭТАП'!E15,IF('Первый ЭТАП'!T16=1,'Первый ЭТАП'!E16,IF('Первый ЭТАП'!T17=1,'Первый ЭТАП'!E17,IF('Первый ЭТАП'!T18=1,'Первый ЭТАП'!E18)))))</f>
        <v>Стыкалин Владимир / Шабанова Светлана</v>
      </c>
      <c r="H8" s="138">
        <f>K7</f>
        <v>7</v>
      </c>
      <c r="I8" s="139">
        <f>J7</f>
        <v>5</v>
      </c>
      <c r="J8" s="226"/>
      <c r="K8" s="227"/>
      <c r="L8" s="140">
        <f>'Расписание игр Этапа 2'!G28</f>
        <v>3</v>
      </c>
      <c r="M8" s="141">
        <f>'Расписание игр Этапа 2'!H28</f>
        <v>9</v>
      </c>
      <c r="N8" s="140">
        <f>'Расписание игр Этапа 2'!G33</f>
        <v>5</v>
      </c>
      <c r="O8" s="141">
        <f>'Расписание игр Этапа 2'!H33</f>
        <v>4</v>
      </c>
      <c r="P8" s="140">
        <f>'Расписание игр Этапа 2'!G18</f>
        <v>2</v>
      </c>
      <c r="Q8" s="141">
        <f>'Расписание игр Этапа 2'!H18</f>
        <v>9</v>
      </c>
      <c r="R8" s="140">
        <f>'Расписание игр Этапа 2'!G13</f>
        <v>7</v>
      </c>
      <c r="S8" s="141">
        <f>'Расписание игр Этапа 2'!H13</f>
        <v>8</v>
      </c>
      <c r="T8" s="140">
        <f>'Расписание игр Этапа 2'!G8</f>
        <v>9</v>
      </c>
      <c r="U8" s="141">
        <f>'Расписание игр Этапа 2'!H8</f>
        <v>5</v>
      </c>
      <c r="V8" s="140">
        <f>'Расписание игр Этапа 2'!G23</f>
        <v>9</v>
      </c>
      <c r="W8" s="141">
        <f>'Расписание игр Этапа 2'!H23</f>
        <v>5</v>
      </c>
      <c r="X8" s="135">
        <f>SUM(IF((H8-I8)&gt;0,1,0),IF((L8-M8)&gt;0,1,0),IF((N8-O8)&gt;0,1,0),IF((P8-Q8)&gt;0,1,0),IF((R8-S8)&gt;0,1,0),IF((T8-U8)&gt;0,1,0),IF((V8-W8)&gt;0,1,0))</f>
        <v>4</v>
      </c>
      <c r="Y8" s="138">
        <f>SUM(H8,L8,N8,P8,R8,T8,V8)</f>
        <v>42</v>
      </c>
      <c r="Z8" s="139">
        <f>SUM(I8,M8,O8,Q8,S8,U8,W8)</f>
        <v>45</v>
      </c>
      <c r="AA8" s="136">
        <v>2</v>
      </c>
      <c r="AB8" s="142">
        <f t="shared" si="0"/>
        <v>5</v>
      </c>
      <c r="AC8" s="11"/>
      <c r="AD8" s="65"/>
      <c r="AE8" s="65"/>
      <c r="AF8" s="69">
        <f>SUM(IF((X8-X9)&gt;0,1,0),IF((X8-X10)&gt;0,1,0),IF((X8-X11)&gt;0,1,0),IF((X8-X12)&gt;0,1,0),IF((X8-X13)&gt;0,1,0),IF((X8-X14)&gt;0,1,0),IF((X8-X7)&gt;0,1,0))</f>
        <v>3</v>
      </c>
      <c r="AG8" s="69">
        <f>IF($AF$7-AF8=0,(IF($AA$7-AA8&lt;0,$AF$7-1,$AF$7)),$AF$7)</f>
        <v>1</v>
      </c>
      <c r="AH8" s="69"/>
      <c r="AI8" s="69">
        <f t="shared" ref="AI8:AI14" si="1">IF($AF$9-AF8=0,(IF($AA$9-AA8&lt;0,$AF$9-1,$AF$9)),$AF$9)</f>
        <v>5</v>
      </c>
      <c r="AJ8" s="69">
        <f t="shared" ref="AJ8:AJ14" si="2">IF($AF$10-AF8=0,(IF($AA$10-AA8&lt;0,$AF$10-1,$AF$10)),$AF$10)</f>
        <v>0</v>
      </c>
      <c r="AK8" s="69">
        <f t="shared" ref="AK8:AK14" si="3">IF($AF$11-AF8=0,(IF($AA$11-AA8&lt;0,$AF$11-1,$AF$11)),$AF$11)</f>
        <v>6</v>
      </c>
      <c r="AL8" s="69">
        <f t="shared" ref="AL8:AL14" si="4">IF($AF$12-AF8=0,(IF($AA$12-AA8&lt;0,$AF$12-1,$AF$12)),$AF$12)</f>
        <v>3</v>
      </c>
      <c r="AM8" s="69">
        <f t="shared" ref="AM8:AM14" si="5">IF($AF$13-AF8=0,(IF($AA$13-AA8&lt;0,$AF$13-1,$AF$13)),$AF$13)</f>
        <v>6</v>
      </c>
      <c r="AN8" s="69">
        <f t="shared" ref="AN8:AN13" si="6">IF($AF$14-AF8=0,(IF($AA$14-AA8&lt;0,$AF$14-1,$AF$14)),$AF$14)</f>
        <v>2</v>
      </c>
      <c r="AO8" s="64"/>
      <c r="AP8" s="64"/>
      <c r="AQ8" s="65">
        <f>SUM(IF((AH15-AG15)&gt;0,1,0),IF((AH15-AI15)&gt;0,1,0),IF((AH15-AJ15)&gt;0,1,0),IF((AH15-AK15)&gt;0,1,0),IF((AH15-AL15)&gt;0,1,0),IF((AH15-AM15)&gt;0,1,0),IF((AH15-AN15)&gt;0,1,0))</f>
        <v>3</v>
      </c>
      <c r="AR8" s="64"/>
      <c r="AS8" s="64"/>
      <c r="AT8" s="64"/>
      <c r="AU8" s="64"/>
      <c r="AV8" s="64"/>
      <c r="AW8" s="64"/>
    </row>
    <row r="9" spans="5:49" ht="48.95" customHeight="1" thickBot="1">
      <c r="E9" s="129">
        <v>3</v>
      </c>
      <c r="F9" s="131" t="s">
        <v>60</v>
      </c>
      <c r="G9" s="137" t="str">
        <f>IF('Первый ЭТАП'!T23=1,'Первый ЭТАП'!E23,IF('Первый ЭТАП'!T24=1,'Первый ЭТАП'!E24,IF('Первый ЭТАП'!T25=1,'Первый ЭТАП'!E25,IF('Первый ЭТАП'!T26=1,'Первый ЭТАП'!E26,IF('Первый ЭТАП'!T27=1,'Первый ЭТАП'!E27)))))</f>
        <v>Попов Иван / Гатайло Светлана</v>
      </c>
      <c r="H9" s="140">
        <f>M7</f>
        <v>7</v>
      </c>
      <c r="I9" s="139">
        <f>L7</f>
        <v>5</v>
      </c>
      <c r="J9" s="138">
        <f>M8</f>
        <v>9</v>
      </c>
      <c r="K9" s="139">
        <f>L8</f>
        <v>3</v>
      </c>
      <c r="L9" s="226"/>
      <c r="M9" s="227"/>
      <c r="N9" s="140">
        <f>'Расписание игр Этапа 2'!G38</f>
        <v>9</v>
      </c>
      <c r="O9" s="141">
        <f>'Расписание игр Этапа 2'!H38</f>
        <v>5</v>
      </c>
      <c r="P9" s="140">
        <f>'Расписание игр Этапа 2'!G14</f>
        <v>8</v>
      </c>
      <c r="Q9" s="141">
        <f>'Расписание игр Этапа 2'!H14</f>
        <v>9</v>
      </c>
      <c r="R9" s="140">
        <f>'Расписание игр Этапа 2'!G9</f>
        <v>9</v>
      </c>
      <c r="S9" s="141">
        <f>'Расписание игр Этапа 2'!H9</f>
        <v>4</v>
      </c>
      <c r="T9" s="140">
        <f>'Расписание игр Этапа 2'!G24</f>
        <v>8</v>
      </c>
      <c r="U9" s="141">
        <f>'Расписание игр Этапа 2'!H24</f>
        <v>9</v>
      </c>
      <c r="V9" s="140">
        <f>'Расписание игр Этапа 2'!G19</f>
        <v>9</v>
      </c>
      <c r="W9" s="141">
        <f>'Расписание игр Этапа 2'!H19</f>
        <v>6</v>
      </c>
      <c r="X9" s="135">
        <f>SUM(IF((J9-K9)&gt;0,1,0),IF((H9-I9)&gt;0,1,0),IF((N9-O9)&gt;0,1,0),IF((P9-Q9)&gt;0,1,0),IF((R9-S9)&gt;0,1,0),IF((T9-U9)&gt;0,1,0),IF((V9-W9)&gt;0,1,0))</f>
        <v>5</v>
      </c>
      <c r="Y9" s="138">
        <f>SUM(H9,J9,N9,P9,R9,T9,V9)</f>
        <v>59</v>
      </c>
      <c r="Z9" s="139">
        <f>SUM(I9,K9,O9,Q9,S9,U9,W9)</f>
        <v>41</v>
      </c>
      <c r="AA9" s="136"/>
      <c r="AB9" s="142">
        <f t="shared" si="0"/>
        <v>3</v>
      </c>
      <c r="AC9" s="11"/>
      <c r="AD9" s="65"/>
      <c r="AE9" s="65"/>
      <c r="AF9" s="69">
        <f>SUM(IF((X9-X10)&gt;0,1,0),IF((X9-X11)&gt;0,1,0),IF((X9-X12)&gt;0,1,0),IF((X9-X13)&gt;0,1,0),IF((X9-X14)&gt;0,1,0),IF((X9-X7)&gt;0,1,0),IF((X9-X8)&gt;0,1,0))</f>
        <v>5</v>
      </c>
      <c r="AG9" s="69">
        <f t="shared" ref="AG9:AG14" si="7">IF($AF$7-AF9=0,(IF($AA$7-AA9&lt;0,$AF$7-1,$AF$7)),$AF$7)</f>
        <v>1</v>
      </c>
      <c r="AH9" s="69">
        <f t="shared" ref="AH9:AH14" si="8">IF($AF$8-AF9=0,(IF($AA$8-AA9&lt;0,$AF$8-1,$AF$8)),$AF$8)</f>
        <v>3</v>
      </c>
      <c r="AI9" s="69"/>
      <c r="AJ9" s="69">
        <f t="shared" si="2"/>
        <v>0</v>
      </c>
      <c r="AK9" s="69">
        <f t="shared" si="3"/>
        <v>6</v>
      </c>
      <c r="AL9" s="69">
        <f t="shared" si="4"/>
        <v>3</v>
      </c>
      <c r="AM9" s="69">
        <f t="shared" si="5"/>
        <v>6</v>
      </c>
      <c r="AN9" s="69">
        <f t="shared" si="6"/>
        <v>2</v>
      </c>
      <c r="AO9" s="64"/>
      <c r="AP9" s="64"/>
      <c r="AQ9" s="65">
        <f>SUM(IF((AI15-AG15)&gt;0,1,0),IF((AI15-AH15)&gt;0,1,0),IF((AI15-AJ15)&gt;0,1,0),IF((AI15-AK15)&gt;0,1,0),IF((AI15-AL15)&gt;0,1,0),IF((AI15-AM15)&gt;0,1,0),IF((AI15-AN15)&gt;0,1,0))</f>
        <v>5</v>
      </c>
      <c r="AR9" s="64"/>
      <c r="AS9" s="64"/>
      <c r="AT9" s="64"/>
      <c r="AU9" s="64"/>
      <c r="AV9" s="64"/>
      <c r="AW9" s="64"/>
    </row>
    <row r="10" spans="5:49" ht="48.95" customHeight="1" thickBot="1">
      <c r="E10" s="129">
        <v>4</v>
      </c>
      <c r="F10" s="131" t="s">
        <v>61</v>
      </c>
      <c r="G10" s="137" t="str">
        <f>IF('Первый ЭТАП'!T32=1,'Первый ЭТАП'!E32,IF('Первый ЭТАП'!T33=1,'Первый ЭТАП'!E33,IF('Первый ЭТАП'!T34=1,'Первый ЭТАП'!E34,IF('Первый ЭТАП'!T35=1,'Первый ЭТАП'!E35,IF('Первый ЭТАП'!T36=1,'Первый ЭТАП'!E36)))))</f>
        <v>Попов Дмитрий / Ерасова Екатерина</v>
      </c>
      <c r="H10" s="138">
        <f>O7</f>
        <v>0</v>
      </c>
      <c r="I10" s="139">
        <f>N7</f>
        <v>9</v>
      </c>
      <c r="J10" s="138">
        <f>O8</f>
        <v>4</v>
      </c>
      <c r="K10" s="139">
        <f>N8</f>
        <v>5</v>
      </c>
      <c r="L10" s="138">
        <f>O9</f>
        <v>5</v>
      </c>
      <c r="M10" s="139">
        <f>N9</f>
        <v>9</v>
      </c>
      <c r="N10" s="226"/>
      <c r="O10" s="227"/>
      <c r="P10" s="140">
        <f>'Расписание игр Этапа 2'!G10</f>
        <v>1</v>
      </c>
      <c r="Q10" s="141">
        <f>'Расписание игр Этапа 2'!H10</f>
        <v>9</v>
      </c>
      <c r="R10" s="140">
        <f>'Расписание игр Этапа 2'!G25</f>
        <v>6</v>
      </c>
      <c r="S10" s="141">
        <f>'Расписание игр Этапа 2'!H25</f>
        <v>10</v>
      </c>
      <c r="T10" s="140">
        <f>'Расписание игр Этапа 2'!G20</f>
        <v>6</v>
      </c>
      <c r="U10" s="141">
        <f>'Расписание игр Этапа 2'!H20</f>
        <v>9</v>
      </c>
      <c r="V10" s="140">
        <f>'Расписание игр Этапа 2'!G15</f>
        <v>3</v>
      </c>
      <c r="W10" s="141">
        <f>'Расписание игр Этапа 2'!H15</f>
        <v>9</v>
      </c>
      <c r="X10" s="135">
        <f>SUM(IF((J10-K10)&gt;0,1,0),IF((L10-M10)&gt;0,1,0),IF((H10-I10)&gt;0,1,0),IF((P10-Q10)&gt;0,1,0),IF((R10-S10)&gt;0,1,0),IF((T10-U10)&gt;0,1,0),IF((V10-W10)&gt;0,1,0))</f>
        <v>0</v>
      </c>
      <c r="Y10" s="138">
        <f>SUM(H10,J10,L10,P10,R10,T10,V10)</f>
        <v>25</v>
      </c>
      <c r="Z10" s="139">
        <f>SUM(I10,K10,M10,Q10,S10,U10,W10)</f>
        <v>60</v>
      </c>
      <c r="AA10" s="136"/>
      <c r="AB10" s="142">
        <f t="shared" si="0"/>
        <v>8</v>
      </c>
      <c r="AC10" s="11"/>
      <c r="AD10" s="65"/>
      <c r="AE10" s="65"/>
      <c r="AF10" s="69">
        <f>SUM(IF((X10-X11)&gt;0,1,0),IF((X10-X12)&gt;0,1,0),IF((X10-X13)&gt;0,1,0),IF((X10-X14)&gt;0,1,0),IF((X10-X7)&gt;0,1,0),IF((X10-X8)&gt;0,1,0),IF((X10-X9)&gt;0,1,0))</f>
        <v>0</v>
      </c>
      <c r="AG10" s="69">
        <f t="shared" si="7"/>
        <v>1</v>
      </c>
      <c r="AH10" s="69">
        <f t="shared" si="8"/>
        <v>3</v>
      </c>
      <c r="AI10" s="69">
        <f t="shared" si="1"/>
        <v>5</v>
      </c>
      <c r="AJ10" s="69"/>
      <c r="AK10" s="69">
        <f t="shared" si="3"/>
        <v>6</v>
      </c>
      <c r="AL10" s="69">
        <f t="shared" si="4"/>
        <v>3</v>
      </c>
      <c r="AM10" s="69">
        <f t="shared" si="5"/>
        <v>6</v>
      </c>
      <c r="AN10" s="69">
        <f t="shared" si="6"/>
        <v>2</v>
      </c>
      <c r="AO10" s="64"/>
      <c r="AP10" s="64"/>
      <c r="AQ10" s="65">
        <f>SUM(IF((AJ15-AG15)&gt;0,1,0),IF((AJ15-AH15)&gt;0,1,0),IF((AJ15-AI15)&gt;0,1,0),IF((AJ15-AK15)&gt;0,1,0),IF((AJ15-AL15)&gt;0,1,0),IF((AJ15-AM15)&gt;0,1,0),IF((AJ15-AN15)&gt;0,1,0))</f>
        <v>0</v>
      </c>
      <c r="AR10" s="64"/>
      <c r="AS10" s="64"/>
      <c r="AT10" s="64"/>
      <c r="AU10" s="64"/>
      <c r="AV10" s="64"/>
      <c r="AW10" s="64"/>
    </row>
    <row r="11" spans="5:49" ht="48.95" customHeight="1" thickBot="1">
      <c r="E11" s="129">
        <v>5</v>
      </c>
      <c r="F11" s="131" t="s">
        <v>16</v>
      </c>
      <c r="G11" s="137" t="str">
        <f>IF('Первый ЭТАП'!T5=2,'Первый ЭТАП'!E5,IF('Первый ЭТАП'!T6=2,'Первый ЭТАП'!E6,IF('Первый ЭТАП'!T7=2,'Первый ЭТАП'!E7,IF('Первый ЭТАП'!T8=2,'Первый ЭТАП'!E8,IF('Первый ЭТАП'!T9=2,'Первый ЭТАП'!E9)))))</f>
        <v>Попов Михаил / Фокина Алла</v>
      </c>
      <c r="H11" s="138">
        <f>Q7</f>
        <v>8</v>
      </c>
      <c r="I11" s="139">
        <f>P7</f>
        <v>3</v>
      </c>
      <c r="J11" s="138">
        <f>Q8</f>
        <v>9</v>
      </c>
      <c r="K11" s="139">
        <f>P8</f>
        <v>2</v>
      </c>
      <c r="L11" s="138">
        <f>Q9</f>
        <v>9</v>
      </c>
      <c r="M11" s="139">
        <f>P9</f>
        <v>8</v>
      </c>
      <c r="N11" s="138">
        <f>Q10</f>
        <v>9</v>
      </c>
      <c r="O11" s="139">
        <f>P10</f>
        <v>1</v>
      </c>
      <c r="P11" s="226"/>
      <c r="Q11" s="227"/>
      <c r="R11" s="140">
        <f>'Расписание игр Этапа 2'!G39</f>
        <v>9</v>
      </c>
      <c r="S11" s="141">
        <f>'Расписание игр Этапа 2'!H39</f>
        <v>7</v>
      </c>
      <c r="T11" s="140">
        <f>'Расписание игр Этапа 2'!G34</f>
        <v>4</v>
      </c>
      <c r="U11" s="141">
        <f>'Расписание игр Этапа 2'!H34</f>
        <v>9</v>
      </c>
      <c r="V11" s="140">
        <f>'Расписание игр Этапа 2'!G29</f>
        <v>8</v>
      </c>
      <c r="W11" s="141">
        <f>'Расписание игр Этапа 2'!H29</f>
        <v>6</v>
      </c>
      <c r="X11" s="135">
        <f>SUM(IF((J11-K11)&gt;0,1,0),IF((L11-M11)&gt;0,1,0),IF((N11-O11)&gt;0,1,0),IF((H11-I11)&gt;0,1,0),IF((R11-S11)&gt;0,1,0),IF((T11-U11)&gt;0,1,0),IF((V11-W11)&gt;0,1,0))</f>
        <v>6</v>
      </c>
      <c r="Y11" s="138">
        <f>SUM(H11,J11,L11,N11,R11,T11,V11)</f>
        <v>56</v>
      </c>
      <c r="Z11" s="139">
        <f>SUM(I11,K11,M11,O11,S11,U11,W11)</f>
        <v>36</v>
      </c>
      <c r="AA11" s="136">
        <v>2</v>
      </c>
      <c r="AB11" s="142">
        <f t="shared" si="0"/>
        <v>1</v>
      </c>
      <c r="AC11" s="11"/>
      <c r="AD11" s="65"/>
      <c r="AE11" s="65"/>
      <c r="AF11" s="69">
        <f>SUM(IF((X11-X12)&gt;0,1,0),IF((X11-X13)&gt;0,1,0),IF((X11-X14)&gt;0,1,0),IF((X11-X7)&gt;0,1,0),IF((X11-X8)&gt;0,1,0),IF((X11-X9)&gt;0,1,0),IF((X11-X10)&gt;0,1,0))</f>
        <v>6</v>
      </c>
      <c r="AG11" s="69">
        <f t="shared" si="7"/>
        <v>1</v>
      </c>
      <c r="AH11" s="69">
        <f t="shared" si="8"/>
        <v>3</v>
      </c>
      <c r="AI11" s="69">
        <f t="shared" si="1"/>
        <v>5</v>
      </c>
      <c r="AJ11" s="69">
        <f t="shared" si="2"/>
        <v>0</v>
      </c>
      <c r="AK11" s="69"/>
      <c r="AL11" s="69">
        <f t="shared" si="4"/>
        <v>3</v>
      </c>
      <c r="AM11" s="69">
        <f t="shared" si="5"/>
        <v>5</v>
      </c>
      <c r="AN11" s="69">
        <f t="shared" si="6"/>
        <v>2</v>
      </c>
      <c r="AO11" s="64"/>
      <c r="AP11" s="64"/>
      <c r="AQ11" s="65">
        <f>SUM(IF((AK15-AG15)&gt;0,1,0),IF((AK15-AH15)&gt;0,1,0),IF((AK15-AI15)&gt;0,1,0),IF((AK15-AJ15)&gt;0,1,0),IF((AK15-AL15)&gt;0,1,0),IF((AK15-AM15)&gt;0,1,0),IF((AK15-AN15)&gt;0,1,0))</f>
        <v>7</v>
      </c>
      <c r="AR11" s="64"/>
      <c r="AS11" s="64"/>
      <c r="AT11" s="64"/>
      <c r="AU11" s="64"/>
      <c r="AV11" s="64"/>
      <c r="AW11" s="64"/>
    </row>
    <row r="12" spans="5:49" ht="48.95" customHeight="1" thickBot="1">
      <c r="E12" s="129">
        <v>6</v>
      </c>
      <c r="F12" s="131" t="s">
        <v>17</v>
      </c>
      <c r="G12" s="137" t="str">
        <f>IF('Первый ЭТАП'!T14=2,'Первый ЭТАП'!E14,IF('Первый ЭТАП'!T15=2,'Первый ЭТАП'!E15,IF('Первый ЭТАП'!T16=2,'Первый ЭТАП'!E16,IF('Первый ЭТАП'!T17=2,'Первый ЭТАП'!E17,IF('Первый ЭТАП'!T18=2,'Первый ЭТАП'!E18)))))</f>
        <v>Бурдо Сергей / Шпиленок Лидия</v>
      </c>
      <c r="H12" s="138">
        <f>S7</f>
        <v>9</v>
      </c>
      <c r="I12" s="139">
        <f>R7</f>
        <v>4</v>
      </c>
      <c r="J12" s="138">
        <f>S8</f>
        <v>8</v>
      </c>
      <c r="K12" s="139">
        <f>R8</f>
        <v>7</v>
      </c>
      <c r="L12" s="138">
        <f>S9</f>
        <v>4</v>
      </c>
      <c r="M12" s="139">
        <f>R9</f>
        <v>9</v>
      </c>
      <c r="N12" s="138">
        <f>S10</f>
        <v>10</v>
      </c>
      <c r="O12" s="139">
        <f>R10</f>
        <v>6</v>
      </c>
      <c r="P12" s="138">
        <f>S11</f>
        <v>7</v>
      </c>
      <c r="Q12" s="139">
        <f>R11</f>
        <v>9</v>
      </c>
      <c r="R12" s="226"/>
      <c r="S12" s="227"/>
      <c r="T12" s="140">
        <f>'Расписание игр Этапа 2'!G30</f>
        <v>4</v>
      </c>
      <c r="U12" s="141">
        <f>'Расписание игр Этапа 2'!H30</f>
        <v>9</v>
      </c>
      <c r="V12" s="140">
        <f>'Расписание игр Этапа 2'!G35</f>
        <v>9</v>
      </c>
      <c r="W12" s="141">
        <f>'Расписание игр Этапа 2'!H35</f>
        <v>1</v>
      </c>
      <c r="X12" s="135">
        <f>SUM(IF((J12-K12)&gt;0,1,0),IF((L12-M12)&gt;0,1,0),IF((N12-O12)&gt;0,1,0),IF((P12-Q12)&gt;0,1,0),IF((H12-I12)&gt;0,1,0),IF((T12-U12)&gt;0,1,0),IF((V12-W12)&gt;0,1,0))</f>
        <v>4</v>
      </c>
      <c r="Y12" s="138">
        <f>SUM(H12,J12,L12,N12,P12,T12,V12)</f>
        <v>51</v>
      </c>
      <c r="Z12" s="139">
        <f>SUM(I12,K12,M12,O12,Q12,U12,W12)</f>
        <v>45</v>
      </c>
      <c r="AA12" s="136">
        <v>3</v>
      </c>
      <c r="AB12" s="142">
        <f t="shared" si="0"/>
        <v>4</v>
      </c>
      <c r="AC12" s="11"/>
      <c r="AD12" s="65"/>
      <c r="AE12" s="65"/>
      <c r="AF12" s="69">
        <f>SUM(IF((X12-X13)&gt;0,1,0),IF((X12-X14)&gt;0,1,0),IF((X12-X7)&gt;0,1,0),IF((X12-X8)&gt;0,1,0),IF((X12-X9)&gt;0,1,0),IF((X12-X10)&gt;0,1,0),IF((X12-X11)&gt;0,1,0))</f>
        <v>3</v>
      </c>
      <c r="AG12" s="69">
        <f t="shared" si="7"/>
        <v>1</v>
      </c>
      <c r="AH12" s="69">
        <f t="shared" si="8"/>
        <v>2</v>
      </c>
      <c r="AI12" s="69">
        <f t="shared" si="1"/>
        <v>5</v>
      </c>
      <c r="AJ12" s="69">
        <f t="shared" si="2"/>
        <v>0</v>
      </c>
      <c r="AK12" s="69">
        <f t="shared" si="3"/>
        <v>6</v>
      </c>
      <c r="AL12" s="69"/>
      <c r="AM12" s="69">
        <f t="shared" si="5"/>
        <v>6</v>
      </c>
      <c r="AN12" s="69">
        <f t="shared" si="6"/>
        <v>2</v>
      </c>
      <c r="AO12" s="64"/>
      <c r="AP12" s="64"/>
      <c r="AQ12" s="65">
        <f>SUM(IF((AL15-AG15)&gt;0,1,0),IF((AL15-AH15)&gt;0,1,0),IF((AL15-AI15)&gt;0,1,0),IF((AL15-AJ15)&gt;0,1,0),IF((AL15-AK15)&gt;0,1,0),IF((AL15-AM15)&gt;0,1,0),IF((AL15-AN15)&gt;0,1,0))</f>
        <v>4</v>
      </c>
      <c r="AR12" s="64"/>
      <c r="AS12" s="64"/>
      <c r="AT12" s="64"/>
      <c r="AU12" s="64"/>
      <c r="AV12" s="64"/>
      <c r="AW12" s="64"/>
    </row>
    <row r="13" spans="5:49" ht="48.95" customHeight="1" thickBot="1">
      <c r="E13" s="129">
        <v>7</v>
      </c>
      <c r="F13" s="131" t="s">
        <v>62</v>
      </c>
      <c r="G13" s="137" t="str">
        <f>IF('Первый ЭТАП'!T23=2,'Первый ЭТАП'!E23,IF('Первый ЭТАП'!T24=2,'Первый ЭТАП'!E24,IF('Первый ЭТАП'!T25=2,'Первый ЭТАП'!E25,IF('Первый ЭТАП'!T26=2,'Первый ЭТАП'!E26,IF('Первый ЭТАП'!T27=2,'Первый ЭТАП'!E27)))))</f>
        <v>Андреев Андрей / Ширяева Варвара</v>
      </c>
      <c r="H13" s="138">
        <f>U7</f>
        <v>9</v>
      </c>
      <c r="I13" s="139">
        <f>T7</f>
        <v>4</v>
      </c>
      <c r="J13" s="138">
        <f>U8</f>
        <v>5</v>
      </c>
      <c r="K13" s="139">
        <f>T8</f>
        <v>9</v>
      </c>
      <c r="L13" s="138">
        <f>U9</f>
        <v>9</v>
      </c>
      <c r="M13" s="139">
        <f>T9</f>
        <v>8</v>
      </c>
      <c r="N13" s="138">
        <f>U10</f>
        <v>9</v>
      </c>
      <c r="O13" s="139">
        <f>T10</f>
        <v>6</v>
      </c>
      <c r="P13" s="138">
        <f>U11</f>
        <v>9</v>
      </c>
      <c r="Q13" s="139">
        <f>T11</f>
        <v>4</v>
      </c>
      <c r="R13" s="138">
        <f>U12</f>
        <v>9</v>
      </c>
      <c r="S13" s="139">
        <f>T12</f>
        <v>4</v>
      </c>
      <c r="T13" s="226"/>
      <c r="U13" s="227"/>
      <c r="V13" s="140">
        <f>'Расписание игр Этапа 2'!G40</f>
        <v>9</v>
      </c>
      <c r="W13" s="141">
        <f>'Расписание игр Этапа 2'!H40</f>
        <v>2</v>
      </c>
      <c r="X13" s="135">
        <f>SUM(IF((J13-K13)&gt;0,1,0),IF((L13-M13)&gt;0,1,0),IF((N13-O13)&gt;0,1,0),IF((P13-Q13)&gt;0,1,0),IF((R13-S13)&gt;0,1,0),IF((H13-I13)&gt;0,1,0),IF((V13-W13)&gt;0,1,0))</f>
        <v>6</v>
      </c>
      <c r="Y13" s="138">
        <f>SUM(H13,J13,L13,N13,P13,R13,V13)</f>
        <v>59</v>
      </c>
      <c r="Z13" s="139">
        <f>SUM(I13,K13,M13,O13,Q13,S13,W13)</f>
        <v>37</v>
      </c>
      <c r="AA13" s="136">
        <v>1</v>
      </c>
      <c r="AB13" s="142">
        <f t="shared" si="0"/>
        <v>2</v>
      </c>
      <c r="AC13" s="11"/>
      <c r="AD13" s="65"/>
      <c r="AE13" s="65"/>
      <c r="AF13" s="69">
        <f>SUM(IF((X13-X14)&gt;0,1,0),IF((X13-X7)&gt;0,1,0),IF((X13-X8)&gt;0,1,0),IF((X13-X9)&gt;0,1,0),IF((X13-X10)&gt;0,1,0),IF((X13-X11)&gt;0,1,0),IF((X13-X12)&gt;0,1,0))</f>
        <v>6</v>
      </c>
      <c r="AG13" s="69">
        <f t="shared" si="7"/>
        <v>1</v>
      </c>
      <c r="AH13" s="69">
        <f t="shared" si="8"/>
        <v>3</v>
      </c>
      <c r="AI13" s="69">
        <f t="shared" si="1"/>
        <v>5</v>
      </c>
      <c r="AJ13" s="69">
        <f t="shared" si="2"/>
        <v>0</v>
      </c>
      <c r="AK13" s="69">
        <f t="shared" si="3"/>
        <v>6</v>
      </c>
      <c r="AL13" s="69">
        <f t="shared" si="4"/>
        <v>3</v>
      </c>
      <c r="AM13" s="69"/>
      <c r="AN13" s="69">
        <f t="shared" si="6"/>
        <v>2</v>
      </c>
      <c r="AO13" s="64"/>
      <c r="AP13" s="64"/>
      <c r="AQ13" s="65">
        <f>SUM(IF((AM15-AG15)&gt;0,1,0),IF((AM15-AH15)&gt;0,1,0),IF((AM15-AI15)&gt;0,1,0),IF((AM15-AJ15)&gt;0,1,0),IF((AM15-AK15)&gt;0,1,0),IF((AM15-AL15)&gt;0,1,0),IF((AM15-AN15)&gt;0,1,0))</f>
        <v>6</v>
      </c>
      <c r="AR13" s="64"/>
      <c r="AS13" s="64"/>
      <c r="AT13" s="64"/>
      <c r="AU13" s="64"/>
      <c r="AV13" s="64"/>
      <c r="AW13" s="64"/>
    </row>
    <row r="14" spans="5:49" ht="48.95" customHeight="1" thickBot="1">
      <c r="E14" s="129">
        <v>8</v>
      </c>
      <c r="F14" s="131" t="s">
        <v>63</v>
      </c>
      <c r="G14" s="143" t="str">
        <f>IF('Первый ЭТАП'!T32=2,'Первый ЭТАП'!E32,IF('Первый ЭТАП'!T33=2,'Первый ЭТАП'!E33,IF('Первый ЭТАП'!T34=2,'Первый ЭТАП'!E34,IF('Первый ЭТАП'!T35=2,'Первый ЭТАП'!E35,IF('Первый ЭТАП'!T36=2,'Первый ЭТАП'!E36)))))</f>
        <v>Лукин Сергей / Князева Елена</v>
      </c>
      <c r="H14" s="144">
        <f>W7</f>
        <v>9</v>
      </c>
      <c r="I14" s="145">
        <f>V7</f>
        <v>2</v>
      </c>
      <c r="J14" s="144">
        <f>W8</f>
        <v>5</v>
      </c>
      <c r="K14" s="145">
        <f>V8</f>
        <v>9</v>
      </c>
      <c r="L14" s="144">
        <f>W9</f>
        <v>6</v>
      </c>
      <c r="M14" s="145">
        <f>V9</f>
        <v>9</v>
      </c>
      <c r="N14" s="144">
        <f>W10</f>
        <v>9</v>
      </c>
      <c r="O14" s="145">
        <f>V10</f>
        <v>3</v>
      </c>
      <c r="P14" s="144">
        <f>W11</f>
        <v>6</v>
      </c>
      <c r="Q14" s="145">
        <f>V11</f>
        <v>8</v>
      </c>
      <c r="R14" s="144">
        <f>W12</f>
        <v>1</v>
      </c>
      <c r="S14" s="145">
        <f>V12</f>
        <v>9</v>
      </c>
      <c r="T14" s="144">
        <f>W13</f>
        <v>2</v>
      </c>
      <c r="U14" s="145">
        <f>V13</f>
        <v>9</v>
      </c>
      <c r="V14" s="235"/>
      <c r="W14" s="236"/>
      <c r="X14" s="146">
        <f>SUM(IF((J14-K14)&gt;0,1,0),IF((L14-M14)&gt;0,1,0),IF((N14-O14)&gt;0,1,0),IF((P14-Q14)&gt;0,1,0),IF((R14-S14)&gt;0,1,0),IF((T14-U14)&gt;0,1,0),IF((H14-I14)&gt;0,1,0))</f>
        <v>2</v>
      </c>
      <c r="Y14" s="144">
        <f>SUM(H14,J14,L14,N14,P14,R14,T14)</f>
        <v>38</v>
      </c>
      <c r="Z14" s="145">
        <f>SUM(I14,K14,M14,O14,Q14,S14,U14)</f>
        <v>49</v>
      </c>
      <c r="AA14" s="148"/>
      <c r="AB14" s="147">
        <f t="shared" si="0"/>
        <v>6</v>
      </c>
      <c r="AC14" s="11"/>
      <c r="AD14" s="65"/>
      <c r="AE14" s="65"/>
      <c r="AF14" s="69">
        <f>SUM(IF((X14-X7)&gt;0,1,0),IF((X14-X8)&gt;0,1,0),IF((X14-X9)&gt;0,1,0),IF((X14-X10)&gt;0,1,0),IF((X14-X11)&gt;0,1,0),IF((X14-X12)&gt;0,1,0),IF((X14-X13)&gt;0,1,0))</f>
        <v>2</v>
      </c>
      <c r="AG14" s="69">
        <f t="shared" si="7"/>
        <v>1</v>
      </c>
      <c r="AH14" s="69">
        <f t="shared" si="8"/>
        <v>3</v>
      </c>
      <c r="AI14" s="69">
        <f t="shared" si="1"/>
        <v>5</v>
      </c>
      <c r="AJ14" s="69">
        <f t="shared" si="2"/>
        <v>0</v>
      </c>
      <c r="AK14" s="69">
        <f t="shared" si="3"/>
        <v>6</v>
      </c>
      <c r="AL14" s="69">
        <f t="shared" si="4"/>
        <v>3</v>
      </c>
      <c r="AM14" s="69">
        <f t="shared" si="5"/>
        <v>6</v>
      </c>
      <c r="AN14" s="69"/>
      <c r="AO14" s="64"/>
      <c r="AP14" s="64"/>
      <c r="AQ14" s="65">
        <f>SUM(IF((AN15-AG15)&gt;0,1,0),IF((AN15-AH15)&gt;0,1,0),IF((AN15-AI15)&gt;0,1,0),IF((AN15-AJ15)&gt;0,1,0),IF((AN15-AK15)&gt;0,1,0),IF((AN15-AL15)&gt;0,1,0),IF((AN15-AM15)&gt;0,1,0))</f>
        <v>2</v>
      </c>
      <c r="AR14" s="64"/>
      <c r="AS14" s="64"/>
      <c r="AT14" s="64"/>
      <c r="AU14" s="64"/>
      <c r="AV14" s="64"/>
      <c r="AW14" s="64"/>
    </row>
    <row r="15" spans="5:49" ht="18.75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65"/>
      <c r="AE15" s="65"/>
      <c r="AF15" s="69"/>
      <c r="AG15" s="69">
        <f>SUM(AG8:AG14)</f>
        <v>7</v>
      </c>
      <c r="AH15" s="69">
        <f>SUM(AH7,AH9:AH14)</f>
        <v>20</v>
      </c>
      <c r="AI15" s="69">
        <f>SUM(AI7:AI8,AI10:AI14)</f>
        <v>35</v>
      </c>
      <c r="AJ15" s="69">
        <f>SUM(AJ7:AJ9,AJ11:AJ14)</f>
        <v>0</v>
      </c>
      <c r="AK15" s="69">
        <f>SUM(AK7:AK10,AK12:AK14)</f>
        <v>42</v>
      </c>
      <c r="AL15" s="69">
        <f>SUM(AL7:AL11,AL13:AL14)</f>
        <v>21</v>
      </c>
      <c r="AM15" s="69">
        <f>SUM(AM7:AM12,AM14)</f>
        <v>41</v>
      </c>
      <c r="AN15" s="69">
        <f>SUM(AN7:AN13)</f>
        <v>14</v>
      </c>
      <c r="AO15" s="64"/>
      <c r="AP15" s="64"/>
      <c r="AQ15" s="65"/>
      <c r="AR15" s="64"/>
      <c r="AS15" s="64"/>
      <c r="AT15" s="64"/>
      <c r="AU15" s="64"/>
      <c r="AV15" s="64"/>
      <c r="AW15" s="64"/>
    </row>
    <row r="16" spans="5:49" ht="18.75"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65"/>
      <c r="AE16" s="65"/>
      <c r="AF16" s="69"/>
      <c r="AG16" s="69"/>
      <c r="AH16" s="69"/>
      <c r="AI16" s="69"/>
      <c r="AJ16" s="69"/>
      <c r="AK16" s="69"/>
      <c r="AL16" s="69"/>
      <c r="AM16" s="69"/>
      <c r="AN16" s="69"/>
      <c r="AO16" s="64"/>
      <c r="AP16" s="64"/>
      <c r="AQ16" s="65"/>
      <c r="AR16" s="64"/>
      <c r="AS16" s="64"/>
      <c r="AT16" s="64"/>
      <c r="AU16" s="64"/>
      <c r="AV16" s="64"/>
      <c r="AW16" s="64"/>
    </row>
    <row r="17" spans="3:49" ht="18.75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65"/>
      <c r="AE17" s="65"/>
      <c r="AF17" s="69"/>
      <c r="AG17" s="69"/>
      <c r="AH17" s="69"/>
      <c r="AI17" s="69"/>
      <c r="AJ17" s="69"/>
      <c r="AK17" s="69"/>
      <c r="AL17" s="69"/>
      <c r="AM17" s="69"/>
      <c r="AN17" s="69"/>
      <c r="AO17" s="64"/>
      <c r="AP17" s="64"/>
      <c r="AQ17" s="65"/>
      <c r="AR17" s="64"/>
      <c r="AS17" s="64"/>
      <c r="AT17" s="64"/>
      <c r="AU17" s="64"/>
      <c r="AV17" s="64"/>
      <c r="AW17" s="64"/>
    </row>
    <row r="18" spans="3:49" ht="35.25" thickBot="1">
      <c r="E18" s="11"/>
      <c r="F18" s="228" t="s">
        <v>272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11"/>
      <c r="AD18" s="65"/>
      <c r="AE18" s="65"/>
      <c r="AF18" s="69"/>
      <c r="AG18" s="69"/>
      <c r="AH18" s="69"/>
      <c r="AI18" s="69"/>
      <c r="AJ18" s="69"/>
      <c r="AK18" s="69"/>
      <c r="AL18" s="69"/>
      <c r="AM18" s="69"/>
      <c r="AN18" s="69"/>
      <c r="AO18" s="64"/>
      <c r="AP18" s="64"/>
      <c r="AQ18" s="65"/>
      <c r="AR18" s="64"/>
      <c r="AS18" s="64"/>
      <c r="AT18" s="64"/>
      <c r="AU18" s="64"/>
      <c r="AV18" s="64"/>
      <c r="AW18" s="64"/>
    </row>
    <row r="19" spans="3:49" ht="19.5" thickBot="1">
      <c r="E19" s="11"/>
      <c r="F19" s="5" t="s">
        <v>0</v>
      </c>
      <c r="G19" s="3" t="s">
        <v>6</v>
      </c>
      <c r="H19" s="237">
        <v>9</v>
      </c>
      <c r="I19" s="238"/>
      <c r="J19" s="237">
        <v>10</v>
      </c>
      <c r="K19" s="238"/>
      <c r="L19" s="237">
        <v>11</v>
      </c>
      <c r="M19" s="238"/>
      <c r="N19" s="237">
        <v>12</v>
      </c>
      <c r="O19" s="238"/>
      <c r="P19" s="237">
        <v>13</v>
      </c>
      <c r="Q19" s="238"/>
      <c r="R19" s="237">
        <v>14</v>
      </c>
      <c r="S19" s="238"/>
      <c r="T19" s="237">
        <v>15</v>
      </c>
      <c r="U19" s="238"/>
      <c r="V19" s="237">
        <v>16</v>
      </c>
      <c r="W19" s="238"/>
      <c r="X19" s="3" t="s">
        <v>7</v>
      </c>
      <c r="Y19" s="239" t="s">
        <v>9</v>
      </c>
      <c r="Z19" s="240"/>
      <c r="AA19" s="3" t="s">
        <v>59</v>
      </c>
      <c r="AB19" s="3" t="s">
        <v>8</v>
      </c>
      <c r="AC19" s="11"/>
      <c r="AD19" s="65"/>
      <c r="AE19" s="65"/>
      <c r="AF19" s="69"/>
      <c r="AG19" s="69"/>
      <c r="AH19" s="69"/>
      <c r="AI19" s="69"/>
      <c r="AJ19" s="69"/>
      <c r="AK19" s="69"/>
      <c r="AL19" s="69"/>
      <c r="AM19" s="69"/>
      <c r="AN19" s="69"/>
      <c r="AO19" s="64"/>
      <c r="AP19" s="64"/>
      <c r="AQ19" s="65"/>
      <c r="AR19" s="64"/>
      <c r="AS19" s="64"/>
      <c r="AT19" s="64"/>
      <c r="AU19" s="64"/>
      <c r="AV19" s="64"/>
      <c r="AW19" s="64"/>
    </row>
    <row r="20" spans="3:49" ht="48.95" customHeight="1" thickBot="1">
      <c r="C20" s="189"/>
      <c r="E20" s="129">
        <v>9</v>
      </c>
      <c r="F20" s="131" t="s">
        <v>18</v>
      </c>
      <c r="G20" s="149" t="str">
        <f>IF('Первый ЭТАП'!T5=3,'Первый ЭТАП'!E5,IF('Первый ЭТАП'!T6=3,'Первый ЭТАП'!E6,IF('Первый ЭТАП'!T7=3,'Первый ЭТАП'!E7,IF('Первый ЭТАП'!T8=3,'Первый ЭТАП'!E8,IF('Первый ЭТАП'!T9=3,'Первый ЭТАП'!E9)))))</f>
        <v>Чекулаев Михаил / Берсенева Елизавета</v>
      </c>
      <c r="H20" s="233"/>
      <c r="I20" s="234"/>
      <c r="J20" s="133">
        <f>'Расписание игр Этапа 2'!S37</f>
        <v>0</v>
      </c>
      <c r="K20" s="134">
        <f>'Расписание игр Этапа 2'!T37</f>
        <v>9</v>
      </c>
      <c r="L20" s="133">
        <f>'Расписание игр Этапа 2'!S32</f>
        <v>0</v>
      </c>
      <c r="M20" s="134">
        <f>'Расписание игр Этапа 2'!T32</f>
        <v>9</v>
      </c>
      <c r="N20" s="133">
        <f>'Расписание игр Этапа 2'!S27</f>
        <v>0</v>
      </c>
      <c r="O20" s="134">
        <f>'Расписание игр Этапа 2'!T27</f>
        <v>9</v>
      </c>
      <c r="P20" s="133">
        <f>'Расписание игр Этапа 2'!S22</f>
        <v>3</v>
      </c>
      <c r="Q20" s="134">
        <f>'Расписание игр Этапа 2'!T22</f>
        <v>9</v>
      </c>
      <c r="R20" s="133">
        <f>'Расписание игр Этапа 2'!S17</f>
        <v>4</v>
      </c>
      <c r="S20" s="134">
        <f>'Расписание игр Этапа 2'!T17</f>
        <v>9</v>
      </c>
      <c r="T20" s="133">
        <f>'Расписание игр Этапа 2'!S12</f>
        <v>3</v>
      </c>
      <c r="U20" s="134">
        <f>'Расписание игр Этапа 2'!T12</f>
        <v>9</v>
      </c>
      <c r="V20" s="133">
        <f>'Расписание игр Этапа 2'!S7</f>
        <v>6</v>
      </c>
      <c r="W20" s="134">
        <f>'Расписание игр Этапа 2'!T7</f>
        <v>9</v>
      </c>
      <c r="X20" s="135">
        <f>SUM(IF((J20-K20)&gt;0,1,0),IF((L20-M20)&gt;0,1,0),IF((N20-O20)&gt;0,1,0),IF((P20-Q20)&gt;0,1,0),IF((R20-S20)&gt;0,1,0),IF((T20-U20)&gt;0,1,0),IF((V20-W20)&gt;0,1,0))</f>
        <v>0</v>
      </c>
      <c r="Y20" s="174">
        <f>SUM(J20,L20,N20,P20,R20,T20,V20)</f>
        <v>16</v>
      </c>
      <c r="Z20" s="175">
        <f>SUM(K20,M20,O20,Q20,S20,U20,W20)</f>
        <v>63</v>
      </c>
      <c r="AA20" s="136"/>
      <c r="AB20" s="135">
        <f t="shared" ref="AB20:AB27" si="9">16-AQ20</f>
        <v>16</v>
      </c>
      <c r="AC20" s="11"/>
      <c r="AD20" s="65"/>
      <c r="AE20" s="65"/>
      <c r="AF20" s="69">
        <f>SUM(IF((X20-X21)&gt;0,1,0),IF((X20-X22)&gt;0,1,0),IF((X20-X23)&gt;0,1,0),IF((X20-X24)&gt;0,1,0),IF((X20-X25)&gt;0,1,0),IF((X20-X26)&gt;0,1,0),IF((X20-X27)&gt;0,1,0))</f>
        <v>0</v>
      </c>
      <c r="AG20" s="69"/>
      <c r="AH20" s="69">
        <f>IF($AF$21-AF20=0,(IF($AA$21-AA20&lt;0,$AF$21-1,$AF$21)),$AF$21)</f>
        <v>3</v>
      </c>
      <c r="AI20" s="69">
        <f>IF($AF$22-AF20=0,(IF($AA$22-AA20&lt;0,$AF$22-1,$AF$22)),$AF$22)</f>
        <v>3</v>
      </c>
      <c r="AJ20" s="69">
        <f>IF($AF$23-AF20=0,(IF($AA$23-AA20&lt;0,$AF$23-1,$AF$23)),$AF$23)</f>
        <v>7</v>
      </c>
      <c r="AK20" s="69">
        <f>IF($AF$24-AF20=0,(IF($AA$24-AA20&lt;0,$AF$24-1,$AF$24)),$AF$24)</f>
        <v>3</v>
      </c>
      <c r="AL20" s="69">
        <f>IF($AF$25-AF20=0,(IF($AA$25-AA20&lt;0,$AF$25-1,$AF$25)),$AF$25)</f>
        <v>2</v>
      </c>
      <c r="AM20" s="69">
        <f>IF($AF$26-AF20=0,(IF($AA$26-AA20&lt;0,$AF$26-1,$AF$26)),$AF$26)</f>
        <v>6</v>
      </c>
      <c r="AN20" s="69">
        <f>IF($AF$27-AF20=0,(IF($AA$27-AA20&lt;0,$AF$27-1,$AF$27)),$AF$27)</f>
        <v>1</v>
      </c>
      <c r="AO20" s="64"/>
      <c r="AP20" s="64"/>
      <c r="AQ20" s="65">
        <f>SUM(IF((AG28-AH28)&gt;0,1,0),IF((AG28-AI28)&gt;0,1,0),IF((AG28-AJ28)&gt;0,1,0),IF((AG28-AK28)&gt;0,1,0),IF((AG28-AL28)&gt;0,1,0),IF((AG28-AM28)&gt;0,1,0),IF((AG28-AN28)&gt;0,1,0))</f>
        <v>0</v>
      </c>
      <c r="AR20" s="64"/>
      <c r="AS20" s="64"/>
      <c r="AT20" s="64"/>
      <c r="AU20" s="64"/>
      <c r="AV20" s="64"/>
      <c r="AW20" s="64"/>
    </row>
    <row r="21" spans="3:49" ht="70.5" thickBot="1">
      <c r="C21" s="189"/>
      <c r="E21" s="129">
        <v>10</v>
      </c>
      <c r="F21" s="131" t="s">
        <v>19</v>
      </c>
      <c r="G21" s="150" t="str">
        <f>IF('Первый ЭТАП'!T14=3,'Первый ЭТАП'!E14,IF('Первый ЭТАП'!T15=3,'Первый ЭТАП'!E15,IF('Первый ЭТАП'!T16=3,'Первый ЭТАП'!E16,IF('Первый ЭТАП'!T17=3,'Первый ЭТАП'!E17,IF('Первый ЭТАП'!T18=3,'Первый ЭТАП'!E18)))))</f>
        <v>Фахретдинов Фоат / Фахретдинова Джамиля*</v>
      </c>
      <c r="H21" s="138">
        <f>K20</f>
        <v>9</v>
      </c>
      <c r="I21" s="139">
        <f>J20</f>
        <v>0</v>
      </c>
      <c r="J21" s="226"/>
      <c r="K21" s="227"/>
      <c r="L21" s="140">
        <f>'Расписание игр Этапа 2'!S28</f>
        <v>9</v>
      </c>
      <c r="M21" s="141">
        <f>'Расписание игр Этапа 2'!T28</f>
        <v>2</v>
      </c>
      <c r="N21" s="140">
        <f>'Расписание игр Этапа 2'!S33</f>
        <v>9</v>
      </c>
      <c r="O21" s="141">
        <f>'Расписание игр Этапа 2'!T33</f>
        <v>2</v>
      </c>
      <c r="P21" s="140">
        <f>'Расписание игр Этапа 2'!S18</f>
        <v>9</v>
      </c>
      <c r="Q21" s="141">
        <f>'Расписание игр Этапа 2'!T18</f>
        <v>0</v>
      </c>
      <c r="R21" s="140">
        <f>'Расписание игр Этапа 2'!S13</f>
        <v>4</v>
      </c>
      <c r="S21" s="141">
        <f>'Расписание игр Этапа 2'!T13</f>
        <v>9</v>
      </c>
      <c r="T21" s="140">
        <f>'Расписание игр Этапа 2'!S8</f>
        <v>5</v>
      </c>
      <c r="U21" s="141">
        <f>'Расписание игр Этапа 2'!T8</f>
        <v>8</v>
      </c>
      <c r="V21" s="140">
        <f>'Расписание игр Этапа 2'!S23</f>
        <v>1</v>
      </c>
      <c r="W21" s="141">
        <f>'Расписание игр Этапа 2'!T23</f>
        <v>9</v>
      </c>
      <c r="X21" s="135">
        <f>SUM(IF((H21-I21)&gt;0,1,0),IF((L21-M21)&gt;0,1,0),IF((N21-O21)&gt;0,1,0),IF((P21-Q21)&gt;0,1,0),IF((R21-S21)&gt;0,1,0),IF((T21-U21)&gt;0,1,0),IF((V21-W21)&gt;0,1,0))</f>
        <v>4</v>
      </c>
      <c r="Y21" s="138">
        <f>SUM(H21,L21,N21,P21,R21,T21,V21)</f>
        <v>46</v>
      </c>
      <c r="Z21" s="139">
        <f>SUM(I21,M21,O21,Q21,S21,U21,W21)</f>
        <v>30</v>
      </c>
      <c r="AA21" s="136">
        <v>2</v>
      </c>
      <c r="AB21" s="142">
        <f t="shared" si="9"/>
        <v>11</v>
      </c>
      <c r="AC21" s="11"/>
      <c r="AD21" s="65"/>
      <c r="AE21" s="65"/>
      <c r="AF21" s="69">
        <f>SUM(IF((X21-X22)&gt;0,1,0),IF((X21-X23)&gt;0,1,0),IF((X21-X24)&gt;0,1,0),IF((X21-X25)&gt;0,1,0),IF((X21-X26)&gt;0,1,0),IF((X21-X27)&gt;0,1,0),IF((X21-X20)&gt;0,1,0))</f>
        <v>3</v>
      </c>
      <c r="AG21" s="69">
        <f>IF($AF$20-AF21=0,(IF($AA$20-AA21&lt;0,$AF$20-1,$AF$20)),$AF$20)</f>
        <v>0</v>
      </c>
      <c r="AH21" s="69"/>
      <c r="AI21" s="69">
        <f t="shared" ref="AI21:AI27" si="10">IF($AF$22-AF21=0,(IF($AA$22-AA21&lt;0,$AF$22-1,$AF$22)),$AF$22)</f>
        <v>2</v>
      </c>
      <c r="AJ21" s="69">
        <f t="shared" ref="AJ21:AJ27" si="11">IF($AF$23-AF21=0,(IF($AA$23-AA21&lt;0,$AF$23-1,$AF$23)),$AF$23)</f>
        <v>7</v>
      </c>
      <c r="AK21" s="69">
        <f t="shared" ref="AK21:AK27" si="12">IF($AF$24-AF21=0,(IF($AA$24-AA21&lt;0,$AF$24-1,$AF$24)),$AF$24)</f>
        <v>2</v>
      </c>
      <c r="AL21" s="69">
        <f t="shared" ref="AL21:AL27" si="13">IF($AF$25-AF21=0,(IF($AA$25-AA21&lt;0,$AF$25-1,$AF$25)),$AF$25)</f>
        <v>2</v>
      </c>
      <c r="AM21" s="69">
        <f t="shared" ref="AM21:AM27" si="14">IF($AF$26-AF21=0,(IF($AA$26-AA21&lt;0,$AF$26-1,$AF$26)),$AF$26)</f>
        <v>6</v>
      </c>
      <c r="AN21" s="69">
        <f t="shared" ref="AN21:AN26" si="15">IF($AF$27-AF21=0,(IF($AA$27-AA21&lt;0,$AF$27-1,$AF$27)),$AF$27)</f>
        <v>1</v>
      </c>
      <c r="AO21" s="64"/>
      <c r="AP21" s="64"/>
      <c r="AQ21" s="65">
        <f>SUM(IF((AH28-AG28)&gt;0,1,0),IF((AH28-AI28)&gt;0,1,0),IF((AH28-AJ28)&gt;0,1,0),IF((AH28-AK28)&gt;0,1,0),IF((AH28-AL28)&gt;0,1,0),IF((AH28-AM28)&gt;0,1,0),IF((AH28-AN28)&gt;0,1,0))</f>
        <v>5</v>
      </c>
      <c r="AR21" s="64"/>
      <c r="AS21" s="64"/>
      <c r="AT21" s="64"/>
      <c r="AU21" s="64"/>
      <c r="AV21" s="64"/>
      <c r="AW21" s="64"/>
    </row>
    <row r="22" spans="3:49" ht="48.95" customHeight="1" thickBot="1">
      <c r="C22" s="189"/>
      <c r="E22" s="129">
        <v>11</v>
      </c>
      <c r="F22" s="131" t="s">
        <v>65</v>
      </c>
      <c r="G22" s="151" t="str">
        <f>IF('Первый ЭТАП'!T23=3,'Первый ЭТАП'!E23,IF('Первый ЭТАП'!T24=3,'Первый ЭТАП'!E24,IF('Первый ЭТАП'!T25=3,'Первый ЭТАП'!E25,IF('Первый ЭТАП'!T26=3,'Первый ЭТАП'!E26,IF('Первый ЭТАП'!T27=3,'Первый ЭТАП'!E27)))))</f>
        <v>Саморуков Юрий / Преснякова Елена</v>
      </c>
      <c r="H22" s="140">
        <f>M20</f>
        <v>9</v>
      </c>
      <c r="I22" s="139">
        <f>L20</f>
        <v>0</v>
      </c>
      <c r="J22" s="138">
        <f>M21</f>
        <v>2</v>
      </c>
      <c r="K22" s="139">
        <f>L21</f>
        <v>9</v>
      </c>
      <c r="L22" s="226"/>
      <c r="M22" s="227"/>
      <c r="N22" s="140">
        <f>'Расписание игр Этапа 2'!S38</f>
        <v>2</v>
      </c>
      <c r="O22" s="141">
        <f>'Расписание игр Этапа 2'!T38</f>
        <v>9</v>
      </c>
      <c r="P22" s="140">
        <f>'Расписание игр Этапа 2'!S14</f>
        <v>9</v>
      </c>
      <c r="Q22" s="141">
        <f>'Расписание игр Этапа 2'!T14</f>
        <v>0</v>
      </c>
      <c r="R22" s="140">
        <f>'Расписание игр Этапа 2'!S9</f>
        <v>9</v>
      </c>
      <c r="S22" s="141">
        <f>'Расписание игр Этапа 2'!T9</f>
        <v>2</v>
      </c>
      <c r="T22" s="140">
        <f>'Расписание игр Этапа 2'!S24</f>
        <v>2</v>
      </c>
      <c r="U22" s="141">
        <f>'Расписание игр Этапа 2'!T24</f>
        <v>9</v>
      </c>
      <c r="V22" s="140">
        <f>'Расписание игр Этапа 2'!S19</f>
        <v>9</v>
      </c>
      <c r="W22" s="141">
        <f>'Расписание игр Этапа 2'!T19</f>
        <v>8</v>
      </c>
      <c r="X22" s="135">
        <f>SUM(IF((J22-K22)&gt;0,1,0),IF((H22-I22)&gt;0,1,0),IF((N22-O22)&gt;0,1,0),IF((P22-Q22)&gt;0,1,0),IF((R22-S22)&gt;0,1,0),IF((T22-U22)&gt;0,1,0),IF((V22-W22)&gt;0,1,0))</f>
        <v>4</v>
      </c>
      <c r="Y22" s="138">
        <f>SUM(H22,J22,N22,P22,R22,T22,V22)</f>
        <v>42</v>
      </c>
      <c r="Z22" s="139">
        <f>SUM(I22,K22,O22,Q22,S22,U22,W22)</f>
        <v>37</v>
      </c>
      <c r="AA22" s="136">
        <v>1</v>
      </c>
      <c r="AB22" s="142">
        <f t="shared" si="9"/>
        <v>12</v>
      </c>
      <c r="AC22" s="11"/>
      <c r="AD22" s="65"/>
      <c r="AE22" s="65"/>
      <c r="AF22" s="69">
        <f>SUM(IF((X22-X23)&gt;0,1,0),IF((X22-X24)&gt;0,1,0),IF((X22-X25)&gt;0,1,0),IF((X22-X26)&gt;0,1,0),IF((X22-X27)&gt;0,1,0),IF((X22-X20)&gt;0,1,0),IF((X22-X21)&gt;0,1,0))</f>
        <v>3</v>
      </c>
      <c r="AG22" s="69">
        <f t="shared" ref="AG22:AG27" si="16">IF($AF$20-AF22=0,(IF($AA$20-AA22&lt;0,$AF$20-1,$AF$20)),$AF$20)</f>
        <v>0</v>
      </c>
      <c r="AH22" s="69">
        <f t="shared" ref="AH22:AH27" si="17">IF($AF$21-AF22=0,(IF($AA$21-AA22&lt;0,$AF$21-1,$AF$21)),$AF$21)</f>
        <v>3</v>
      </c>
      <c r="AI22" s="69"/>
      <c r="AJ22" s="69">
        <f t="shared" si="11"/>
        <v>7</v>
      </c>
      <c r="AK22" s="69">
        <f t="shared" si="12"/>
        <v>2</v>
      </c>
      <c r="AL22" s="69">
        <f t="shared" si="13"/>
        <v>2</v>
      </c>
      <c r="AM22" s="69">
        <f t="shared" si="14"/>
        <v>6</v>
      </c>
      <c r="AN22" s="69">
        <f t="shared" si="15"/>
        <v>1</v>
      </c>
      <c r="AO22" s="64"/>
      <c r="AP22" s="64"/>
      <c r="AQ22" s="65">
        <f>SUM(IF((AI28-AG28)&gt;0,1,0),IF((AI28-AH28)&gt;0,1,0),IF((AI28-AJ28)&gt;0,1,0),IF((AI28-AK28)&gt;0,1,0),IF((AI28-AL28)&gt;0,1,0),IF((AI28-AM28)&gt;0,1,0),IF((AI28-AN28)&gt;0,1,0))</f>
        <v>4</v>
      </c>
      <c r="AR22" s="64"/>
      <c r="AS22" s="64"/>
      <c r="AT22" s="64"/>
      <c r="AU22" s="64"/>
      <c r="AV22" s="64"/>
      <c r="AW22" s="64"/>
    </row>
    <row r="23" spans="3:49" ht="48.95" customHeight="1" thickBot="1">
      <c r="C23" s="189"/>
      <c r="E23" s="129">
        <v>12</v>
      </c>
      <c r="F23" s="131" t="s">
        <v>66</v>
      </c>
      <c r="G23" s="150" t="str">
        <f>IF('Первый ЭТАП'!T32=3,'Первый ЭТАП'!E32,IF('Первый ЭТАП'!T33=3,'Первый ЭТАП'!E33,IF('Первый ЭТАП'!T34=3,'Первый ЭТАП'!E34,IF('Первый ЭТАП'!T35=3,'Первый ЭТАП'!E35,IF('Первый ЭТАП'!T36=3,'Первый ЭТАП'!E36)))))</f>
        <v>Дуплякин Юрий / Дуплякина Анна</v>
      </c>
      <c r="H23" s="138">
        <f>O20</f>
        <v>9</v>
      </c>
      <c r="I23" s="139">
        <f>N20</f>
        <v>0</v>
      </c>
      <c r="J23" s="138">
        <f>O21</f>
        <v>2</v>
      </c>
      <c r="K23" s="139">
        <f>N21</f>
        <v>9</v>
      </c>
      <c r="L23" s="138">
        <f>O22</f>
        <v>9</v>
      </c>
      <c r="M23" s="139">
        <f>N22</f>
        <v>2</v>
      </c>
      <c r="N23" s="226"/>
      <c r="O23" s="227"/>
      <c r="P23" s="140">
        <f>'Расписание игр Этапа 2'!S10</f>
        <v>9</v>
      </c>
      <c r="Q23" s="141">
        <f>'Расписание игр Этапа 2'!T10</f>
        <v>0</v>
      </c>
      <c r="R23" s="140">
        <f>'Расписание игр Этапа 2'!S25</f>
        <v>9</v>
      </c>
      <c r="S23" s="141">
        <f>'Расписание игр Этапа 2'!T25</f>
        <v>3</v>
      </c>
      <c r="T23" s="140">
        <f>'Расписание игр Этапа 2'!S20</f>
        <v>9</v>
      </c>
      <c r="U23" s="141">
        <f>'Расписание игр Этапа 2'!T20</f>
        <v>1</v>
      </c>
      <c r="V23" s="140">
        <f>'Расписание игр Этапа 2'!S15</f>
        <v>7</v>
      </c>
      <c r="W23" s="141">
        <f>'Расписание игр Этапа 2'!T15</f>
        <v>6</v>
      </c>
      <c r="X23" s="135">
        <f>SUM(IF((J23-K23)&gt;0,1,0),IF((L23-M23)&gt;0,1,0),IF((H23-I23)&gt;0,1,0),IF((P23-Q23)&gt;0,1,0),IF((R23-S23)&gt;0,1,0),IF((T23-U23)&gt;0,1,0),IF((V23-W23)&gt;0,1,0))</f>
        <v>6</v>
      </c>
      <c r="Y23" s="138">
        <f>SUM(H23,J23,L23,P23,R23,T23,V23)</f>
        <v>54</v>
      </c>
      <c r="Z23" s="139">
        <f>SUM(I23,K23,M23,Q23,S23,U23,W23)</f>
        <v>21</v>
      </c>
      <c r="AA23" s="136"/>
      <c r="AB23" s="142">
        <f t="shared" si="9"/>
        <v>9</v>
      </c>
      <c r="AC23" s="11"/>
      <c r="AD23" s="65"/>
      <c r="AE23" s="65"/>
      <c r="AF23" s="69">
        <f>SUM(IF((X23-X24)&gt;0,1,0),IF((X23-X25)&gt;0,1,0),IF((X23-X26)&gt;0,1,0),IF((X23-X27)&gt;0,1,0),IF((X23-X20)&gt;0,1,0),IF((X23-X21)&gt;0,1,0),IF((X23-X22)&gt;0,1,0))</f>
        <v>7</v>
      </c>
      <c r="AG23" s="69">
        <f t="shared" si="16"/>
        <v>0</v>
      </c>
      <c r="AH23" s="69">
        <f t="shared" si="17"/>
        <v>3</v>
      </c>
      <c r="AI23" s="69">
        <f t="shared" si="10"/>
        <v>3</v>
      </c>
      <c r="AJ23" s="69"/>
      <c r="AK23" s="69">
        <f t="shared" si="12"/>
        <v>3</v>
      </c>
      <c r="AL23" s="69">
        <f t="shared" si="13"/>
        <v>2</v>
      </c>
      <c r="AM23" s="69">
        <f t="shared" si="14"/>
        <v>6</v>
      </c>
      <c r="AN23" s="69">
        <f t="shared" si="15"/>
        <v>1</v>
      </c>
      <c r="AO23" s="64"/>
      <c r="AP23" s="64"/>
      <c r="AQ23" s="65">
        <f>SUM(IF((AJ28-AG28)&gt;0,1,0),IF((AJ28-AH28)&gt;0,1,0),IF((AJ28-AI28)&gt;0,1,0),IF((AJ28-AK28)&gt;0,1,0),IF((AJ28-AL28)&gt;0,1,0),IF((AJ28-AM28)&gt;0,1,0),IF((AJ28-AN28)&gt;0,1,0))</f>
        <v>7</v>
      </c>
      <c r="AR23" s="64"/>
      <c r="AS23" s="64"/>
      <c r="AT23" s="64"/>
      <c r="AU23" s="64"/>
      <c r="AV23" s="64"/>
      <c r="AW23" s="64"/>
    </row>
    <row r="24" spans="3:49" ht="48.95" customHeight="1" thickBot="1">
      <c r="C24" s="189"/>
      <c r="E24" s="129">
        <v>13</v>
      </c>
      <c r="F24" s="131" t="s">
        <v>20</v>
      </c>
      <c r="G24" s="150" t="str">
        <f>IF('Первый ЭТАП'!T5=4,'Первый ЭТАП'!E5,IF('Первый ЭТАП'!T6=4,'Первый ЭТАП'!E6,IF('Первый ЭТАП'!T7=4,'Первый ЭТАП'!E7,IF('Первый ЭТАП'!T8=4,'Первый ЭТАП'!E8,IF('Первый ЭТАП'!T9=4,'Первый ЭТАП'!E9)))))</f>
        <v>Еремеев Евгений / Алексеева Елена</v>
      </c>
      <c r="H24" s="138">
        <f>Q20</f>
        <v>9</v>
      </c>
      <c r="I24" s="139">
        <f>P20</f>
        <v>3</v>
      </c>
      <c r="J24" s="138">
        <f>Q21</f>
        <v>0</v>
      </c>
      <c r="K24" s="139">
        <f>P21</f>
        <v>9</v>
      </c>
      <c r="L24" s="138">
        <f>Q22</f>
        <v>0</v>
      </c>
      <c r="M24" s="139">
        <f>P22</f>
        <v>9</v>
      </c>
      <c r="N24" s="138">
        <f>Q23</f>
        <v>0</v>
      </c>
      <c r="O24" s="139">
        <f>P23</f>
        <v>9</v>
      </c>
      <c r="P24" s="226"/>
      <c r="Q24" s="227"/>
      <c r="R24" s="140">
        <f>'Расписание игр Этапа 2'!S39</f>
        <v>9</v>
      </c>
      <c r="S24" s="141">
        <f>'Расписание игр Этапа 2'!T39</f>
        <v>3</v>
      </c>
      <c r="T24" s="140">
        <f>'Расписание игр Этапа 2'!S34</f>
        <v>9</v>
      </c>
      <c r="U24" s="141">
        <f>'Расписание игр Этапа 2'!T34</f>
        <v>2</v>
      </c>
      <c r="V24" s="140">
        <f>'Расписание игр Этапа 2'!S29</f>
        <v>9</v>
      </c>
      <c r="W24" s="141">
        <f>'Расписание игр Этапа 2'!T29</f>
        <v>2</v>
      </c>
      <c r="X24" s="135">
        <f>SUM(IF((J24-K24)&gt;0,1,0),IF((L24-M24)&gt;0,1,0),IF((N24-O24)&gt;0,1,0),IF((H24-I24)&gt;0,1,0),IF((R24-S24)&gt;0,1,0),IF((T24-U24)&gt;0,1,0),IF((V24-W24)&gt;0,1,0))</f>
        <v>4</v>
      </c>
      <c r="Y24" s="138">
        <f>SUM(H24,J24,L24,N24,R24,T24,V24)</f>
        <v>36</v>
      </c>
      <c r="Z24" s="139">
        <f>SUM(I24,K24,M24,O24,S24,U24,W24)</f>
        <v>37</v>
      </c>
      <c r="AA24" s="136"/>
      <c r="AB24" s="142">
        <f t="shared" si="9"/>
        <v>13</v>
      </c>
      <c r="AC24" s="11"/>
      <c r="AD24" s="65"/>
      <c r="AE24" s="65"/>
      <c r="AF24" s="69">
        <f>SUM(IF((X24-X25)&gt;0,1,0),IF((X24-X26)&gt;0,1,0),IF((X24-X27)&gt;0,1,0),IF((X24-X20)&gt;0,1,0),IF((X24-X21)&gt;0,1,0),IF((X24-X22)&gt;0,1,0),IF((X24-X23)&gt;0,1,0))</f>
        <v>3</v>
      </c>
      <c r="AG24" s="69">
        <f t="shared" si="16"/>
        <v>0</v>
      </c>
      <c r="AH24" s="69">
        <f t="shared" si="17"/>
        <v>3</v>
      </c>
      <c r="AI24" s="69">
        <f t="shared" si="10"/>
        <v>3</v>
      </c>
      <c r="AJ24" s="69">
        <f t="shared" si="11"/>
        <v>7</v>
      </c>
      <c r="AK24" s="69"/>
      <c r="AL24" s="69">
        <f t="shared" si="13"/>
        <v>2</v>
      </c>
      <c r="AM24" s="69">
        <f t="shared" si="14"/>
        <v>6</v>
      </c>
      <c r="AN24" s="69">
        <f t="shared" si="15"/>
        <v>1</v>
      </c>
      <c r="AO24" s="64"/>
      <c r="AP24" s="64"/>
      <c r="AQ24" s="65">
        <f>SUM(IF((AK28-AG28)&gt;0,1,0),IF((AK28-AH28)&gt;0,1,0),IF((AK28-AI28)&gt;0,1,0),IF((AK28-AJ28)&gt;0,1,0),IF((AK28-AL28)&gt;0,1,0),IF((AK28-AM28)&gt;0,1,0),IF((AK28-AN28)&gt;0,1,0))</f>
        <v>3</v>
      </c>
      <c r="AR24" s="64"/>
      <c r="AS24" s="64"/>
      <c r="AT24" s="64"/>
      <c r="AU24" s="64"/>
      <c r="AV24" s="64"/>
      <c r="AW24" s="64"/>
    </row>
    <row r="25" spans="3:49" ht="48.95" customHeight="1" thickBot="1">
      <c r="C25" s="189"/>
      <c r="E25" s="129">
        <v>14</v>
      </c>
      <c r="F25" s="131" t="s">
        <v>21</v>
      </c>
      <c r="G25" s="150" t="str">
        <f>IF('Первый ЭТАП'!T14=4,'Первый ЭТАП'!E14,IF('Первый ЭТАП'!T15=4,'Первый ЭТАП'!E15,IF('Первый ЭТАП'!T16=4,'Первый ЭТАП'!E16,IF('Первый ЭТАП'!T17=4,'Первый ЭТАП'!E17,IF('Первый ЭТАП'!T18=4,'Первый ЭТАП'!E18)))))</f>
        <v>Беликов Алексей / Егорова Мария</v>
      </c>
      <c r="H25" s="138">
        <f>S20</f>
        <v>9</v>
      </c>
      <c r="I25" s="139">
        <f>R20</f>
        <v>4</v>
      </c>
      <c r="J25" s="138">
        <f>S21</f>
        <v>9</v>
      </c>
      <c r="K25" s="139">
        <f>R21</f>
        <v>4</v>
      </c>
      <c r="L25" s="138">
        <f>S22</f>
        <v>2</v>
      </c>
      <c r="M25" s="139">
        <f>R22</f>
        <v>9</v>
      </c>
      <c r="N25" s="138">
        <f>S23</f>
        <v>3</v>
      </c>
      <c r="O25" s="139">
        <f>R23</f>
        <v>9</v>
      </c>
      <c r="P25" s="138">
        <f>S24</f>
        <v>3</v>
      </c>
      <c r="Q25" s="139">
        <f>R24</f>
        <v>9</v>
      </c>
      <c r="R25" s="226"/>
      <c r="S25" s="227"/>
      <c r="T25" s="140">
        <f>'Расписание игр Этапа 2'!S30</f>
        <v>5</v>
      </c>
      <c r="U25" s="141">
        <f>'Расписание игр Этапа 2'!T30</f>
        <v>9</v>
      </c>
      <c r="V25" s="140">
        <f>'Расписание игр Этапа 2'!S35</f>
        <v>9</v>
      </c>
      <c r="W25" s="141">
        <f>'Расписание игр Этапа 2'!T35</f>
        <v>8</v>
      </c>
      <c r="X25" s="135">
        <f>SUM(IF((J25-K25)&gt;0,1,0),IF((L25-M25)&gt;0,1,0),IF((N25-O25)&gt;0,1,0),IF((P25-Q25)&gt;0,1,0),IF((H25-I25)&gt;0,1,0),IF((T25-U25)&gt;0,1,0),IF((V25-W25)&gt;0,1,0))</f>
        <v>3</v>
      </c>
      <c r="Y25" s="138">
        <f>SUM(H25,J25,L25,N25,P25,T25,V25)</f>
        <v>40</v>
      </c>
      <c r="Z25" s="139">
        <f>SUM(I25,K25,M25,O25,Q25,U25,W25)</f>
        <v>52</v>
      </c>
      <c r="AA25" s="136"/>
      <c r="AB25" s="142">
        <f t="shared" si="9"/>
        <v>14</v>
      </c>
      <c r="AC25" s="11"/>
      <c r="AD25" s="65"/>
      <c r="AE25" s="65"/>
      <c r="AF25" s="69">
        <f>SUM(IF((X25-X26)&gt;0,1,0),IF((X25-X27)&gt;0,1,0),IF((X25-X20)&gt;0,1,0),IF((X25-X21)&gt;0,1,0),IF((X25-X22)&gt;0,1,0),IF((X25-X23)&gt;0,1,0),IF((X25-X24)&gt;0,1,0))</f>
        <v>2</v>
      </c>
      <c r="AG25" s="69">
        <f t="shared" si="16"/>
        <v>0</v>
      </c>
      <c r="AH25" s="69">
        <f t="shared" si="17"/>
        <v>3</v>
      </c>
      <c r="AI25" s="69">
        <f t="shared" si="10"/>
        <v>3</v>
      </c>
      <c r="AJ25" s="69">
        <f t="shared" si="11"/>
        <v>7</v>
      </c>
      <c r="AK25" s="69">
        <f t="shared" si="12"/>
        <v>3</v>
      </c>
      <c r="AL25" s="69"/>
      <c r="AM25" s="69">
        <f t="shared" si="14"/>
        <v>6</v>
      </c>
      <c r="AN25" s="69">
        <f t="shared" si="15"/>
        <v>1</v>
      </c>
      <c r="AO25" s="64"/>
      <c r="AP25" s="64"/>
      <c r="AQ25" s="65">
        <f>SUM(IF((AL28-AG28)&gt;0,1,0),IF((AL28-AH28)&gt;0,1,0),IF((AL28-AI28)&gt;0,1,0),IF((AL28-AJ28)&gt;0,1,0),IF((AL28-AK28)&gt;0,1,0),IF((AL28-AM28)&gt;0,1,0),IF((AL28-AN28)&gt;0,1,0))</f>
        <v>2</v>
      </c>
      <c r="AR25" s="64"/>
      <c r="AS25" s="64"/>
      <c r="AT25" s="64"/>
      <c r="AU25" s="64"/>
      <c r="AV25" s="64"/>
      <c r="AW25" s="64"/>
    </row>
    <row r="26" spans="3:49" ht="48.95" customHeight="1" thickBot="1">
      <c r="C26" s="189"/>
      <c r="E26" s="129">
        <v>15</v>
      </c>
      <c r="F26" s="131" t="s">
        <v>64</v>
      </c>
      <c r="G26" s="150" t="str">
        <f>IF('Первый ЭТАП'!T23=4,'Первый ЭТАП'!E23,IF('Первый ЭТАП'!T24=4,'Первый ЭТАП'!E24,IF('Первый ЭТАП'!T25=4,'Первый ЭТАП'!E25,IF('Первый ЭТАП'!T26=4,'Первый ЭТАП'!E26,IF('Первый ЭТАП'!T27=4,'Первый ЭТАП'!E27)))))</f>
        <v>Галанов Михаил / Егорова Злата</v>
      </c>
      <c r="H26" s="138">
        <f>U20</f>
        <v>9</v>
      </c>
      <c r="I26" s="139">
        <f>T20</f>
        <v>3</v>
      </c>
      <c r="J26" s="138">
        <f>U21</f>
        <v>8</v>
      </c>
      <c r="K26" s="139">
        <f>T21</f>
        <v>5</v>
      </c>
      <c r="L26" s="138">
        <f>U22</f>
        <v>9</v>
      </c>
      <c r="M26" s="139">
        <f>T22</f>
        <v>2</v>
      </c>
      <c r="N26" s="138">
        <f>U23</f>
        <v>1</v>
      </c>
      <c r="O26" s="139">
        <f>T23</f>
        <v>9</v>
      </c>
      <c r="P26" s="138">
        <f>U24</f>
        <v>2</v>
      </c>
      <c r="Q26" s="139">
        <f>T24</f>
        <v>9</v>
      </c>
      <c r="R26" s="138">
        <f>U25</f>
        <v>9</v>
      </c>
      <c r="S26" s="139">
        <f>T25</f>
        <v>5</v>
      </c>
      <c r="T26" s="226"/>
      <c r="U26" s="227"/>
      <c r="V26" s="140">
        <f>'Расписание игр Этапа 2'!S40</f>
        <v>9</v>
      </c>
      <c r="W26" s="141">
        <f>'Расписание игр Этапа 2'!T40</f>
        <v>4</v>
      </c>
      <c r="X26" s="135">
        <f>SUM(IF((J26-K26)&gt;0,1,0),IF((L26-M26)&gt;0,1,0),IF((N26-O26)&gt;0,1,0),IF((P26-Q26)&gt;0,1,0),IF((R26-S26)&gt;0,1,0),IF((H26-I26)&gt;0,1,0),IF((V26-W26)&gt;0,1,0))</f>
        <v>5</v>
      </c>
      <c r="Y26" s="138">
        <f>SUM(H26,J26,L26,N26,P26,R26,V26)</f>
        <v>47</v>
      </c>
      <c r="Z26" s="139">
        <f>SUM(I26,K26,M26,O26,Q26,S26,W26)</f>
        <v>37</v>
      </c>
      <c r="AA26" s="136"/>
      <c r="AB26" s="142">
        <f t="shared" si="9"/>
        <v>10</v>
      </c>
      <c r="AC26" s="11"/>
      <c r="AD26" s="65"/>
      <c r="AE26" s="65"/>
      <c r="AF26" s="69">
        <f>SUM(IF((X26-X27)&gt;0,1,0),IF((X26-X20)&gt;0,1,0),IF((X26-X21)&gt;0,1,0),IF((X26-X22)&gt;0,1,0),IF((X26-X23)&gt;0,1,0),IF((X26-X24)&gt;0,1,0),IF((X26-X25)&gt;0,1,0))</f>
        <v>6</v>
      </c>
      <c r="AG26" s="69">
        <f t="shared" si="16"/>
        <v>0</v>
      </c>
      <c r="AH26" s="69">
        <f t="shared" si="17"/>
        <v>3</v>
      </c>
      <c r="AI26" s="69">
        <f t="shared" si="10"/>
        <v>3</v>
      </c>
      <c r="AJ26" s="69">
        <f t="shared" si="11"/>
        <v>7</v>
      </c>
      <c r="AK26" s="69">
        <f t="shared" si="12"/>
        <v>3</v>
      </c>
      <c r="AL26" s="69">
        <f t="shared" si="13"/>
        <v>2</v>
      </c>
      <c r="AM26" s="69"/>
      <c r="AN26" s="69">
        <f t="shared" si="15"/>
        <v>1</v>
      </c>
      <c r="AO26" s="64"/>
      <c r="AP26" s="64"/>
      <c r="AQ26" s="65">
        <f>SUM(IF((AM28-AG28)&gt;0,1,0),IF((AM28-AH28)&gt;0,1,0),IF((AM28-AI28)&gt;0,1,0),IF((AM28-AJ28)&gt;0,1,0),IF((AM28-AK28)&gt;0,1,0),IF((AM28-AL28)&gt;0,1,0),IF((AM28-AN28)&gt;0,1,0))</f>
        <v>6</v>
      </c>
      <c r="AR26" s="64"/>
      <c r="AS26" s="64"/>
      <c r="AT26" s="64"/>
      <c r="AU26" s="64"/>
      <c r="AV26" s="64"/>
      <c r="AW26" s="64"/>
    </row>
    <row r="27" spans="3:49" ht="48.95" customHeight="1" thickBot="1">
      <c r="C27" s="189"/>
      <c r="E27" s="129">
        <v>16</v>
      </c>
      <c r="F27" s="131" t="s">
        <v>67</v>
      </c>
      <c r="G27" s="152" t="str">
        <f>IF('Первый ЭТАП'!T32=4,'Первый ЭТАП'!E32,IF('Первый ЭТАП'!T33=4,'Первый ЭТАП'!E33,IF('Первый ЭТАП'!T34=4,'Первый ЭТАП'!E34,IF('Первый ЭТАП'!T35=4,'Первый ЭТАП'!E35,IF('Первый ЭТАП'!T36=4,'Первый ЭТАП'!E36)))))</f>
        <v>Карпов Илья / Егорова Анна</v>
      </c>
      <c r="H27" s="144">
        <f>W20</f>
        <v>9</v>
      </c>
      <c r="I27" s="145">
        <f>V20</f>
        <v>6</v>
      </c>
      <c r="J27" s="144">
        <f>W21</f>
        <v>9</v>
      </c>
      <c r="K27" s="145">
        <f>V21</f>
        <v>1</v>
      </c>
      <c r="L27" s="144">
        <f>W22</f>
        <v>8</v>
      </c>
      <c r="M27" s="145">
        <f>V22</f>
        <v>9</v>
      </c>
      <c r="N27" s="144">
        <f>W23</f>
        <v>6</v>
      </c>
      <c r="O27" s="145">
        <f>V23</f>
        <v>7</v>
      </c>
      <c r="P27" s="144">
        <f>W24</f>
        <v>2</v>
      </c>
      <c r="Q27" s="145">
        <f>V24</f>
        <v>9</v>
      </c>
      <c r="R27" s="144">
        <f>W25</f>
        <v>8</v>
      </c>
      <c r="S27" s="145">
        <f>V25</f>
        <v>9</v>
      </c>
      <c r="T27" s="144">
        <f>W26</f>
        <v>4</v>
      </c>
      <c r="U27" s="145">
        <f>V26</f>
        <v>9</v>
      </c>
      <c r="V27" s="235"/>
      <c r="W27" s="236"/>
      <c r="X27" s="146">
        <f>SUM(IF((J27-K27)&gt;0,1,0),IF((L27-M27)&gt;0,1,0),IF((N27-O27)&gt;0,1,0),IF((P27-Q27)&gt;0,1,0),IF((R27-S27)&gt;0,1,0),IF((T27-U27)&gt;0,1,0),IF((H27-I27)&gt;0,1,0))</f>
        <v>2</v>
      </c>
      <c r="Y27" s="144">
        <f>SUM(H27,J27,L27,N27,P27,R27,T27)</f>
        <v>46</v>
      </c>
      <c r="Z27" s="145">
        <f>SUM(I27,K27,M27,O27,Q27,S27,U27)</f>
        <v>50</v>
      </c>
      <c r="AA27" s="148"/>
      <c r="AB27" s="147">
        <f t="shared" si="9"/>
        <v>15</v>
      </c>
      <c r="AC27" s="11"/>
      <c r="AD27" s="65"/>
      <c r="AE27" s="65"/>
      <c r="AF27" s="69">
        <f>SUM(IF((X27-X20)&gt;0,1,0),IF((X27-X21)&gt;0,1,0),IF((X27-X22)&gt;0,1,0),IF((X27-X23)&gt;0,1,0),IF((X27-X24)&gt;0,1,0),IF((X27-X25)&gt;0,1,0),IF((X27-X26)&gt;0,1,0))</f>
        <v>1</v>
      </c>
      <c r="AG27" s="69">
        <f t="shared" si="16"/>
        <v>0</v>
      </c>
      <c r="AH27" s="69">
        <f t="shared" si="17"/>
        <v>3</v>
      </c>
      <c r="AI27" s="69">
        <f t="shared" si="10"/>
        <v>3</v>
      </c>
      <c r="AJ27" s="69">
        <f t="shared" si="11"/>
        <v>7</v>
      </c>
      <c r="AK27" s="69">
        <f t="shared" si="12"/>
        <v>3</v>
      </c>
      <c r="AL27" s="69">
        <f t="shared" si="13"/>
        <v>2</v>
      </c>
      <c r="AM27" s="69">
        <f t="shared" si="14"/>
        <v>6</v>
      </c>
      <c r="AN27" s="69"/>
      <c r="AO27" s="64"/>
      <c r="AP27" s="64"/>
      <c r="AQ27" s="65">
        <f>SUM(IF((AN28-AG28)&gt;0,1,0),IF((AN28-AH28)&gt;0,1,0),IF((AN28-AI28)&gt;0,1,0),IF((AN28-AJ28)&gt;0,1,0),IF((AN28-AK28)&gt;0,1,0),IF((AN28-AL28)&gt;0,1,0),IF((AN28-AM28)&gt;0,1,0))</f>
        <v>1</v>
      </c>
      <c r="AR27" s="64"/>
      <c r="AS27" s="64"/>
      <c r="AT27" s="64"/>
      <c r="AU27" s="64"/>
      <c r="AV27" s="64"/>
      <c r="AW27" s="64"/>
    </row>
    <row r="28" spans="3:49" ht="18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65"/>
      <c r="AE28" s="65"/>
      <c r="AF28" s="69"/>
      <c r="AG28" s="69">
        <f>SUM(AG21:AG27)</f>
        <v>0</v>
      </c>
      <c r="AH28" s="69">
        <f>SUM(AH20,AH22:AH27)</f>
        <v>21</v>
      </c>
      <c r="AI28" s="69">
        <f>SUM(AI20:AI21,AI23:AI27)</f>
        <v>20</v>
      </c>
      <c r="AJ28" s="69">
        <f>SUM(AJ20:AJ22,AJ24:AJ27)</f>
        <v>49</v>
      </c>
      <c r="AK28" s="69">
        <f>SUM(AK20:AK23,AK25:AK27)</f>
        <v>19</v>
      </c>
      <c r="AL28" s="69">
        <f>SUM(AL20:AL24,AL26:AL27)</f>
        <v>14</v>
      </c>
      <c r="AM28" s="69">
        <f>SUM(AM20:AM25,AM27)</f>
        <v>42</v>
      </c>
      <c r="AN28" s="69">
        <f>SUM(AN20:AN26)</f>
        <v>7</v>
      </c>
      <c r="AO28" s="64"/>
      <c r="AP28" s="64"/>
      <c r="AQ28" s="65"/>
      <c r="AR28" s="64"/>
      <c r="AS28" s="64"/>
      <c r="AT28" s="64"/>
      <c r="AU28" s="64"/>
      <c r="AV28" s="64"/>
      <c r="AW28" s="64"/>
    </row>
    <row r="29" spans="3:49"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64"/>
      <c r="AE29" s="64"/>
      <c r="AF29" s="68"/>
      <c r="AG29" s="68"/>
      <c r="AH29" s="68"/>
      <c r="AI29" s="68"/>
      <c r="AJ29" s="68"/>
      <c r="AK29" s="68"/>
      <c r="AL29" s="68"/>
      <c r="AM29" s="68"/>
      <c r="AN29" s="68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3:49"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64"/>
      <c r="AE30" s="64"/>
      <c r="AF30" s="68"/>
      <c r="AG30" s="68"/>
      <c r="AH30" s="68"/>
      <c r="AI30" s="68"/>
      <c r="AJ30" s="68"/>
      <c r="AK30" s="68"/>
      <c r="AL30" s="68"/>
      <c r="AM30" s="68"/>
      <c r="AN30" s="68"/>
      <c r="AO30" s="64"/>
      <c r="AP30" s="64"/>
      <c r="AQ30" s="64"/>
      <c r="AR30" s="64"/>
      <c r="AS30" s="64"/>
      <c r="AT30" s="64"/>
      <c r="AU30" s="64"/>
      <c r="AV30" s="64"/>
      <c r="AW30" s="64"/>
    </row>
    <row r="31" spans="3:49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64"/>
      <c r="AE31" s="64"/>
      <c r="AF31" s="68"/>
      <c r="AG31" s="68"/>
      <c r="AH31" s="68"/>
      <c r="AI31" s="68"/>
      <c r="AJ31" s="68"/>
      <c r="AK31" s="68"/>
      <c r="AL31" s="68"/>
      <c r="AM31" s="68"/>
      <c r="AN31" s="68"/>
      <c r="AO31" s="64"/>
      <c r="AP31" s="64"/>
      <c r="AQ31" s="64"/>
      <c r="AR31" s="64"/>
      <c r="AS31" s="64"/>
      <c r="AT31" s="64"/>
      <c r="AU31" s="64"/>
      <c r="AV31" s="64"/>
      <c r="AW31" s="64"/>
    </row>
    <row r="32" spans="3:49">
      <c r="AD32" s="64"/>
      <c r="AE32" s="64"/>
      <c r="AF32" s="68"/>
      <c r="AG32" s="68"/>
      <c r="AH32" s="68"/>
      <c r="AI32" s="68"/>
      <c r="AJ32" s="68"/>
      <c r="AK32" s="68"/>
      <c r="AL32" s="68"/>
      <c r="AM32" s="68"/>
      <c r="AN32" s="68"/>
      <c r="AO32" s="64"/>
      <c r="AP32" s="64"/>
      <c r="AQ32" s="64"/>
      <c r="AR32" s="64"/>
      <c r="AS32" s="64"/>
      <c r="AT32" s="64"/>
      <c r="AU32" s="64"/>
      <c r="AV32" s="64"/>
      <c r="AW32" s="64"/>
    </row>
    <row r="33" spans="10:49">
      <c r="AD33" s="64"/>
      <c r="AE33" s="64"/>
      <c r="AF33" s="68"/>
      <c r="AG33" s="68"/>
      <c r="AH33" s="68"/>
      <c r="AI33" s="68"/>
      <c r="AJ33" s="68"/>
      <c r="AK33" s="68"/>
      <c r="AL33" s="68"/>
      <c r="AM33" s="68"/>
      <c r="AN33" s="68"/>
      <c r="AO33" s="64"/>
      <c r="AP33" s="64"/>
      <c r="AQ33" s="64"/>
      <c r="AR33" s="64"/>
      <c r="AS33" s="64"/>
      <c r="AT33" s="64"/>
      <c r="AU33" s="64"/>
      <c r="AV33" s="64"/>
      <c r="AW33" s="64"/>
    </row>
    <row r="34" spans="10:49">
      <c r="AD34" s="64"/>
      <c r="AE34" s="64"/>
      <c r="AF34" s="68"/>
      <c r="AG34" s="68"/>
      <c r="AH34" s="68"/>
      <c r="AI34" s="68"/>
      <c r="AJ34" s="68"/>
      <c r="AK34" s="68"/>
      <c r="AL34" s="68"/>
      <c r="AM34" s="68"/>
      <c r="AN34" s="68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0:49">
      <c r="AD35" s="64"/>
      <c r="AE35" s="64"/>
      <c r="AF35" s="68"/>
      <c r="AG35" s="68"/>
      <c r="AH35" s="68"/>
      <c r="AI35" s="68"/>
      <c r="AJ35" s="68"/>
      <c r="AK35" s="68"/>
      <c r="AL35" s="68"/>
      <c r="AM35" s="68"/>
      <c r="AN35" s="68"/>
      <c r="AO35" s="64"/>
      <c r="AP35" s="64"/>
      <c r="AQ35" s="64"/>
      <c r="AR35" s="64"/>
      <c r="AS35" s="64"/>
      <c r="AT35" s="64"/>
      <c r="AU35" s="64"/>
      <c r="AV35" s="64"/>
      <c r="AW35" s="64"/>
    </row>
    <row r="36" spans="10:49">
      <c r="AD36" s="64"/>
      <c r="AE36" s="64"/>
      <c r="AF36" s="68"/>
      <c r="AG36" s="68"/>
      <c r="AH36" s="68"/>
      <c r="AI36" s="68"/>
      <c r="AJ36" s="68"/>
      <c r="AK36" s="68"/>
      <c r="AL36" s="68"/>
      <c r="AM36" s="68"/>
      <c r="AN36" s="68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10:49">
      <c r="AD37" s="64"/>
      <c r="AE37" s="64"/>
      <c r="AF37" s="68"/>
      <c r="AG37" s="68"/>
      <c r="AH37" s="68"/>
      <c r="AI37" s="68"/>
      <c r="AJ37" s="68"/>
      <c r="AK37" s="68"/>
      <c r="AL37" s="68"/>
      <c r="AM37" s="68"/>
      <c r="AN37" s="68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0:49">
      <c r="AD38" s="64"/>
      <c r="AE38" s="64"/>
      <c r="AF38" s="68"/>
      <c r="AG38" s="68"/>
      <c r="AH38" s="68"/>
      <c r="AI38" s="68"/>
      <c r="AJ38" s="68"/>
      <c r="AK38" s="68"/>
      <c r="AL38" s="68"/>
      <c r="AM38" s="68"/>
      <c r="AN38" s="68"/>
      <c r="AO38" s="64"/>
      <c r="AP38" s="64"/>
      <c r="AQ38" s="64"/>
      <c r="AR38" s="64"/>
      <c r="AS38" s="64"/>
      <c r="AT38" s="64"/>
      <c r="AU38" s="64"/>
      <c r="AV38" s="64"/>
      <c r="AW38" s="64"/>
    </row>
    <row r="39" spans="10:49">
      <c r="AD39" s="64"/>
      <c r="AE39" s="64"/>
      <c r="AF39" s="68"/>
      <c r="AG39" s="68"/>
      <c r="AH39" s="68"/>
      <c r="AI39" s="68"/>
      <c r="AJ39" s="68"/>
      <c r="AK39" s="68"/>
      <c r="AL39" s="68"/>
      <c r="AM39" s="68"/>
      <c r="AN39" s="68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0:49">
      <c r="AD40" s="64"/>
      <c r="AE40" s="64"/>
      <c r="AF40" s="68"/>
      <c r="AG40" s="68"/>
      <c r="AH40" s="68"/>
      <c r="AI40" s="68"/>
      <c r="AJ40" s="68"/>
      <c r="AK40" s="68"/>
      <c r="AL40" s="68"/>
      <c r="AM40" s="68"/>
      <c r="AN40" s="68"/>
      <c r="AO40" s="64"/>
      <c r="AP40" s="64"/>
      <c r="AQ40" s="64"/>
      <c r="AR40" s="64"/>
      <c r="AS40" s="64"/>
      <c r="AT40" s="64"/>
      <c r="AU40" s="64"/>
      <c r="AV40" s="64"/>
      <c r="AW40" s="64"/>
    </row>
    <row r="41" spans="10:49">
      <c r="J41" s="201" t="str">
        <f>IF('Первый ЭТАП'!T5=5,'Первый ЭТАП'!E5,IF('Первый ЭТАП'!T6=5,'Первый ЭТАП'!E6,IF('Первый ЭТАП'!T7=5,'Первый ЭТАП'!E7,IF('Первый ЭТАП'!T8=5,'Первый ЭТАП'!E8,IF('Первый ЭТАП'!T9=5,'Первый ЭТАП'!E9)))))</f>
        <v>Ли Александр / Ширяева Елена</v>
      </c>
      <c r="K41" s="201"/>
      <c r="L41" s="201"/>
      <c r="M41" s="201"/>
      <c r="N41" s="202"/>
      <c r="O41" s="202"/>
      <c r="P41" s="202">
        <f>IF('Первый ЭТАП'!T32=5,'Первый ЭТАП'!E32,IF('Первый ЭТАП'!T33=5,'Первый ЭТАП'!E33,IF('Первый ЭТАП'!T34=5,'Первый ЭТАП'!E34,IF('Первый ЭТАП'!T35=5,'Первый ЭТАП'!E35,IF('Первый ЭТАП'!T36=5,'Первый ЭТАП'!E36)))))</f>
        <v>0</v>
      </c>
      <c r="Q41" s="202"/>
      <c r="R41" s="202"/>
      <c r="S41" s="202"/>
    </row>
    <row r="42" spans="10:49" ht="45" customHeight="1">
      <c r="J42" s="201"/>
      <c r="K42" s="201"/>
      <c r="L42" s="201"/>
      <c r="M42" s="201"/>
      <c r="N42" s="202"/>
      <c r="O42" s="202"/>
      <c r="P42" s="202"/>
      <c r="Q42" s="202"/>
      <c r="R42" s="202"/>
      <c r="S42" s="202"/>
      <c r="W42" s="241" t="str">
        <f>J41</f>
        <v>Ли Александр / Ширяева Елена</v>
      </c>
      <c r="X42" s="241"/>
      <c r="Y42" s="241"/>
      <c r="Z42" s="241"/>
      <c r="AA42" s="241"/>
    </row>
    <row r="44" spans="10:49">
      <c r="J44" s="201" t="str">
        <f>IF('Первый ЭТАП'!T14=5,'Первый ЭТАП'!E14,IF('Первый ЭТАП'!T15=5,'Первый ЭТАП'!E15,IF('Первый ЭТАП'!T16=5,'Первый ЭТАП'!E16,IF('Первый ЭТАП'!T17=5,'Первый ЭТАП'!E17,IF('Первый ЭТАП'!T18=5,'Первый ЭТАП'!E18)))))</f>
        <v>Журавлев Сергей / Симутина Елена</v>
      </c>
      <c r="K44" s="201"/>
      <c r="L44" s="201"/>
      <c r="M44" s="201"/>
      <c r="N44" s="202"/>
      <c r="O44" s="202"/>
      <c r="P44" s="202">
        <f>IF('Первый ЭТАП'!T23=5,'Первый ЭТАП'!E23,IF('Первый ЭТАП'!T24=5,'Первый ЭТАП'!E24,IF('Первый ЭТАП'!T25=5,'Первый ЭТАП'!E25,IF('Первый ЭТАП'!T26=5,'Первый ЭТАП'!E26,IF('Первый ЭТАП'!T27=5,'Первый ЭТАП'!E27)))))</f>
        <v>0</v>
      </c>
      <c r="Q44" s="202"/>
      <c r="R44" s="202"/>
      <c r="S44" s="202"/>
    </row>
    <row r="45" spans="10:49" ht="46.5" customHeight="1">
      <c r="J45" s="201"/>
      <c r="K45" s="201"/>
      <c r="L45" s="201"/>
      <c r="M45" s="201"/>
      <c r="N45" s="202"/>
      <c r="O45" s="202"/>
      <c r="P45" s="202"/>
      <c r="Q45" s="202"/>
      <c r="R45" s="202"/>
      <c r="S45" s="202"/>
      <c r="W45" s="241" t="str">
        <f>J44</f>
        <v>Журавлев Сергей / Симутина Елена</v>
      </c>
      <c r="X45" s="241"/>
      <c r="Y45" s="241"/>
      <c r="Z45" s="241"/>
      <c r="AA45" s="241"/>
    </row>
    <row r="47" spans="10:49" ht="48" customHeight="1">
      <c r="J47" s="202" t="str">
        <f>IF(N41-O41=0," ",IF(N41-O41&gt;0,J41,P41))</f>
        <v xml:space="preserve"> </v>
      </c>
      <c r="K47" s="202"/>
      <c r="L47" s="202"/>
      <c r="M47" s="202"/>
      <c r="N47" s="202"/>
      <c r="O47" s="202"/>
      <c r="P47" s="202" t="str">
        <f>IF(N44-O44=0," ",IF(N44-O44&gt;0,J44,P44))</f>
        <v xml:space="preserve"> </v>
      </c>
      <c r="Q47" s="202"/>
      <c r="R47" s="202"/>
      <c r="S47" s="202"/>
      <c r="W47" s="241"/>
      <c r="X47" s="241"/>
      <c r="Y47" s="241"/>
      <c r="Z47" s="241"/>
      <c r="AA47" s="241"/>
    </row>
    <row r="48" spans="10:49">
      <c r="J48" s="202"/>
      <c r="K48" s="202"/>
      <c r="L48" s="202"/>
      <c r="M48" s="202"/>
      <c r="N48" s="202"/>
      <c r="O48" s="202"/>
      <c r="P48" s="202"/>
      <c r="Q48" s="202"/>
      <c r="R48" s="202"/>
      <c r="S48" s="202"/>
    </row>
  </sheetData>
  <sheetProtection sheet="1" objects="1" scenarios="1"/>
  <mergeCells count="51">
    <mergeCell ref="J47:M48"/>
    <mergeCell ref="N47:N48"/>
    <mergeCell ref="O47:O48"/>
    <mergeCell ref="P47:S48"/>
    <mergeCell ref="W42:AA42"/>
    <mergeCell ref="W45:AA45"/>
    <mergeCell ref="W47:AA47"/>
    <mergeCell ref="J41:M42"/>
    <mergeCell ref="N41:N42"/>
    <mergeCell ref="O41:O42"/>
    <mergeCell ref="P41:S42"/>
    <mergeCell ref="J44:M45"/>
    <mergeCell ref="N44:N45"/>
    <mergeCell ref="O44:O45"/>
    <mergeCell ref="P44:S45"/>
    <mergeCell ref="R25:S25"/>
    <mergeCell ref="T26:U26"/>
    <mergeCell ref="V27:W27"/>
    <mergeCell ref="V19:W19"/>
    <mergeCell ref="H20:I20"/>
    <mergeCell ref="J21:K21"/>
    <mergeCell ref="L22:M22"/>
    <mergeCell ref="N23:O23"/>
    <mergeCell ref="P24:Q24"/>
    <mergeCell ref="T13:U13"/>
    <mergeCell ref="V14:W14"/>
    <mergeCell ref="F18:AB18"/>
    <mergeCell ref="H19:I19"/>
    <mergeCell ref="J19:K19"/>
    <mergeCell ref="L19:M19"/>
    <mergeCell ref="N19:O19"/>
    <mergeCell ref="P19:Q19"/>
    <mergeCell ref="R19:S19"/>
    <mergeCell ref="T19:U19"/>
    <mergeCell ref="Y19:Z19"/>
    <mergeCell ref="R12:S12"/>
    <mergeCell ref="F5:AB5"/>
    <mergeCell ref="H6:I6"/>
    <mergeCell ref="J6:K6"/>
    <mergeCell ref="L6:M6"/>
    <mergeCell ref="N6:O6"/>
    <mergeCell ref="P6:Q6"/>
    <mergeCell ref="R6:S6"/>
    <mergeCell ref="T6:U6"/>
    <mergeCell ref="V6:W6"/>
    <mergeCell ref="Y6:Z6"/>
    <mergeCell ref="H7:I7"/>
    <mergeCell ref="J8:K8"/>
    <mergeCell ref="L9:M9"/>
    <mergeCell ref="N10:O10"/>
    <mergeCell ref="P11:Q11"/>
  </mergeCells>
  <conditionalFormatting sqref="A1:XFD40 A43:XFD43 A41:J41 A42:I42 N41:P41 T41:XFD41 A50:XFD1048576 A44:I49 T44:XFD44 J49:S49 J44 J47 N44:P44 N47:P47 T42:W42 AB42:XFD42 J46:XFD46 T45:W45 AB45:XFD45 T48:XFD49 T47:W47 AB47:XFD47">
    <cfRule type="containsText" dxfId="1" priority="1" operator="containsText" text="ЛОЖЬ">
      <formula>NOT(ISERROR(SEARCH("ЛОЖЬ",A1)))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2060"/>
  </sheetPr>
  <dimension ref="A2:AE43"/>
  <sheetViews>
    <sheetView zoomScale="40" zoomScaleNormal="40" workbookViewId="0">
      <selection activeCell="H36" sqref="H36"/>
    </sheetView>
  </sheetViews>
  <sheetFormatPr defaultColWidth="9.140625" defaultRowHeight="21"/>
  <cols>
    <col min="1" max="1" width="9.140625" style="193"/>
    <col min="2" max="4" width="9.140625" style="27" customWidth="1"/>
    <col min="5" max="5" width="28.5703125" style="156" customWidth="1"/>
    <col min="6" max="6" width="28" style="156" customWidth="1"/>
    <col min="7" max="8" width="9.140625" style="27"/>
    <col min="9" max="10" width="26.7109375" style="27" customWidth="1"/>
    <col min="11" max="12" width="9.140625" style="27"/>
    <col min="13" max="13" width="9.140625" style="180"/>
    <col min="14" max="14" width="9.140625" style="27"/>
    <col min="15" max="15" width="9.140625" style="195"/>
    <col min="16" max="16" width="9.140625" style="27"/>
    <col min="17" max="18" width="26.7109375" style="27" customWidth="1"/>
    <col min="19" max="19" width="9.140625" style="27"/>
    <col min="20" max="20" width="9.140625" style="27" customWidth="1"/>
    <col min="21" max="22" width="26.7109375" style="27" customWidth="1"/>
    <col min="23" max="24" width="9.140625" style="27"/>
    <col min="25" max="25" width="9.140625" style="185"/>
    <col min="26" max="16384" width="9.140625" style="27"/>
  </cols>
  <sheetData>
    <row r="2" spans="1:31">
      <c r="B2" s="26"/>
      <c r="C2" s="26"/>
      <c r="D2" s="26"/>
      <c r="E2" s="155"/>
      <c r="F2" s="155"/>
      <c r="G2" s="26"/>
      <c r="H2" s="26"/>
      <c r="I2" s="26"/>
      <c r="J2" s="26"/>
      <c r="K2" s="26"/>
      <c r="L2" s="26"/>
      <c r="M2" s="176"/>
      <c r="N2" s="26"/>
      <c r="O2" s="194"/>
      <c r="P2" s="26"/>
      <c r="Q2" s="26"/>
      <c r="R2" s="26"/>
      <c r="S2" s="26"/>
      <c r="T2" s="26"/>
      <c r="U2" s="26"/>
      <c r="V2" s="26"/>
      <c r="W2" s="26"/>
      <c r="X2" s="26"/>
      <c r="Y2" s="181"/>
      <c r="Z2" s="26"/>
      <c r="AA2" s="26"/>
    </row>
    <row r="3" spans="1:31" ht="21.75" thickBot="1">
      <c r="B3" s="26"/>
      <c r="C3" s="26"/>
      <c r="D3" s="26"/>
      <c r="E3" s="155"/>
      <c r="F3" s="155"/>
      <c r="G3" s="26"/>
      <c r="H3" s="26"/>
      <c r="I3" s="26"/>
      <c r="J3" s="26"/>
      <c r="K3" s="26"/>
      <c r="L3" s="26"/>
      <c r="M3" s="176"/>
      <c r="N3" s="26"/>
      <c r="O3" s="194"/>
      <c r="P3" s="26"/>
      <c r="Q3" s="26"/>
      <c r="R3" s="26"/>
      <c r="S3" s="26"/>
      <c r="T3" s="26"/>
      <c r="U3" s="26"/>
      <c r="V3" s="26"/>
      <c r="W3" s="26"/>
      <c r="X3" s="26"/>
      <c r="Y3" s="181"/>
      <c r="Z3" s="26"/>
      <c r="AA3" s="26"/>
    </row>
    <row r="4" spans="1:31">
      <c r="B4" s="26"/>
      <c r="C4" s="42"/>
      <c r="D4" s="43"/>
      <c r="E4" s="44"/>
      <c r="F4" s="44"/>
      <c r="G4" s="45"/>
      <c r="H4" s="45"/>
      <c r="I4" s="44"/>
      <c r="J4" s="44"/>
      <c r="K4" s="43"/>
      <c r="L4" s="43"/>
      <c r="M4" s="177"/>
      <c r="N4" s="46"/>
      <c r="O4" s="186"/>
      <c r="P4" s="43"/>
      <c r="Q4" s="44"/>
      <c r="R4" s="44"/>
      <c r="S4" s="45"/>
      <c r="T4" s="45"/>
      <c r="U4" s="44"/>
      <c r="V4" s="44"/>
      <c r="W4" s="43"/>
      <c r="X4" s="43"/>
      <c r="Y4" s="182"/>
      <c r="Z4" s="26"/>
      <c r="AA4" s="26"/>
    </row>
    <row r="5" spans="1:31">
      <c r="B5" s="26"/>
      <c r="C5" s="47"/>
      <c r="D5" s="246" t="s">
        <v>11</v>
      </c>
      <c r="E5" s="246"/>
      <c r="F5" s="246"/>
      <c r="G5" s="246"/>
      <c r="H5" s="246"/>
      <c r="I5" s="246"/>
      <c r="J5" s="246"/>
      <c r="K5" s="246"/>
      <c r="L5" s="246"/>
      <c r="M5" s="178"/>
      <c r="N5" s="46"/>
      <c r="O5" s="187"/>
      <c r="P5" s="246" t="s">
        <v>272</v>
      </c>
      <c r="Q5" s="246"/>
      <c r="R5" s="246"/>
      <c r="S5" s="246"/>
      <c r="T5" s="246"/>
      <c r="U5" s="246"/>
      <c r="V5" s="246"/>
      <c r="W5" s="246"/>
      <c r="X5" s="246"/>
      <c r="Y5" s="183"/>
      <c r="Z5" s="26"/>
      <c r="AA5" s="26"/>
    </row>
    <row r="6" spans="1:31">
      <c r="B6" s="26"/>
      <c r="C6" s="47"/>
      <c r="D6" s="46"/>
      <c r="E6" s="154"/>
      <c r="F6" s="154"/>
      <c r="G6" s="48"/>
      <c r="H6" s="48"/>
      <c r="I6" s="70"/>
      <c r="J6" s="70"/>
      <c r="K6" s="46"/>
      <c r="L6" s="46"/>
      <c r="M6" s="178"/>
      <c r="N6" s="46"/>
      <c r="O6" s="187"/>
      <c r="P6" s="46"/>
      <c r="Q6" s="70"/>
      <c r="R6" s="70"/>
      <c r="S6" s="48"/>
      <c r="T6" s="48"/>
      <c r="U6" s="70"/>
      <c r="V6" s="70"/>
      <c r="W6" s="46"/>
      <c r="X6" s="46"/>
      <c r="Y6" s="183"/>
      <c r="Z6" s="26"/>
      <c r="AA6" s="26"/>
    </row>
    <row r="7" spans="1:31" ht="27.95" customHeight="1">
      <c r="B7" s="26"/>
      <c r="C7" s="47"/>
      <c r="D7" s="242" t="s">
        <v>42</v>
      </c>
      <c r="E7" s="243" t="str">
        <f>'Финал и доигровки'!G7</f>
        <v>Домарев Андрей / Сизова Дарья</v>
      </c>
      <c r="F7" s="244"/>
      <c r="G7" s="54">
        <v>2</v>
      </c>
      <c r="H7" s="54">
        <v>9</v>
      </c>
      <c r="I7" s="245" t="str">
        <f>'Финал и доигровки'!G14</f>
        <v>Лукин Сергей / Князева Елена</v>
      </c>
      <c r="J7" s="245"/>
      <c r="K7" s="46"/>
      <c r="L7" s="46" t="s">
        <v>23</v>
      </c>
      <c r="M7" s="178" t="s">
        <v>236</v>
      </c>
      <c r="N7" s="46"/>
      <c r="O7" s="187"/>
      <c r="P7" s="242" t="s">
        <v>42</v>
      </c>
      <c r="Q7" s="245" t="str">
        <f>'Финал и доигровки'!G20</f>
        <v>Чекулаев Михаил / Берсенева Елизавета</v>
      </c>
      <c r="R7" s="247"/>
      <c r="S7" s="54">
        <v>6</v>
      </c>
      <c r="T7" s="54">
        <v>9</v>
      </c>
      <c r="U7" s="245" t="str">
        <f>'Финал и доигровки'!G27</f>
        <v>Карпов Илья / Егорова Анна</v>
      </c>
      <c r="V7" s="245"/>
      <c r="W7" s="46"/>
      <c r="X7" s="46" t="s">
        <v>244</v>
      </c>
      <c r="Y7" s="183" t="s">
        <v>243</v>
      </c>
      <c r="Z7" s="26"/>
      <c r="AA7" s="26"/>
    </row>
    <row r="8" spans="1:31" ht="27.95" customHeight="1">
      <c r="A8" s="193">
        <v>5</v>
      </c>
      <c r="B8" s="26"/>
      <c r="C8" s="47"/>
      <c r="D8" s="242"/>
      <c r="E8" s="245" t="str">
        <f>'Финал и доигровки'!G8</f>
        <v>Стыкалин Владимир / Шабанова Светлана</v>
      </c>
      <c r="F8" s="245"/>
      <c r="G8" s="54">
        <v>9</v>
      </c>
      <c r="H8" s="54">
        <v>5</v>
      </c>
      <c r="I8" s="245" t="str">
        <f>'Финал и доигровки'!G13</f>
        <v>Андреев Андрей / Ширяева Варвара</v>
      </c>
      <c r="J8" s="245"/>
      <c r="K8" s="46"/>
      <c r="L8" s="46" t="s">
        <v>24</v>
      </c>
      <c r="M8" s="178" t="s">
        <v>237</v>
      </c>
      <c r="N8" s="46"/>
      <c r="O8" s="187" t="s">
        <v>241</v>
      </c>
      <c r="P8" s="242"/>
      <c r="Q8" s="245" t="str">
        <f>'Финал и доигровки'!G21</f>
        <v>Фахретдинов Фоат / Фахретдинова Джамиля*</v>
      </c>
      <c r="R8" s="245"/>
      <c r="S8" s="54">
        <v>5</v>
      </c>
      <c r="T8" s="54">
        <v>8</v>
      </c>
      <c r="U8" s="245" t="str">
        <f>'Финал и доигровки'!G26</f>
        <v>Галанов Михаил / Егорова Злата</v>
      </c>
      <c r="V8" s="245"/>
      <c r="W8" s="46"/>
      <c r="X8" s="46" t="s">
        <v>245</v>
      </c>
      <c r="Y8" s="183" t="s">
        <v>240</v>
      </c>
      <c r="Z8" s="26"/>
      <c r="AA8" s="26"/>
    </row>
    <row r="9" spans="1:31" ht="27.95" customHeight="1">
      <c r="B9" s="26"/>
      <c r="C9" s="47"/>
      <c r="D9" s="242"/>
      <c r="E9" s="245" t="str">
        <f>'Финал и доигровки'!G9</f>
        <v>Попов Иван / Гатайло Светлана</v>
      </c>
      <c r="F9" s="245"/>
      <c r="G9" s="54">
        <v>9</v>
      </c>
      <c r="H9" s="54">
        <v>4</v>
      </c>
      <c r="I9" s="245" t="str">
        <f>'Финал и доигровки'!G12</f>
        <v>Бурдо Сергей / Шпиленок Лидия</v>
      </c>
      <c r="J9" s="245"/>
      <c r="K9" s="46"/>
      <c r="L9" s="46" t="s">
        <v>25</v>
      </c>
      <c r="M9" s="178" t="s">
        <v>238</v>
      </c>
      <c r="N9" s="46"/>
      <c r="O9" s="187"/>
      <c r="P9" s="242"/>
      <c r="Q9" s="245" t="str">
        <f>'Финал и доигровки'!G22</f>
        <v>Саморуков Юрий / Преснякова Елена</v>
      </c>
      <c r="R9" s="245"/>
      <c r="S9" s="54">
        <v>9</v>
      </c>
      <c r="T9" s="54">
        <v>2</v>
      </c>
      <c r="U9" s="245" t="str">
        <f>'Финал и доигровки'!G25</f>
        <v>Беликов Алексей / Егорова Мария</v>
      </c>
      <c r="V9" s="245"/>
      <c r="W9" s="46"/>
      <c r="X9" s="46" t="s">
        <v>247</v>
      </c>
      <c r="Y9" s="183" t="s">
        <v>241</v>
      </c>
      <c r="Z9" s="26"/>
      <c r="AA9" s="26"/>
    </row>
    <row r="10" spans="1:31" ht="27.95" customHeight="1">
      <c r="B10" s="26"/>
      <c r="C10" s="47"/>
      <c r="D10" s="242"/>
      <c r="E10" s="245" t="str">
        <f>'Финал и доигровки'!G10</f>
        <v>Попов Дмитрий / Ерасова Екатерина</v>
      </c>
      <c r="F10" s="245"/>
      <c r="G10" s="54">
        <v>1</v>
      </c>
      <c r="H10" s="54">
        <v>9</v>
      </c>
      <c r="I10" s="245" t="str">
        <f>'Финал и доигровки'!G11</f>
        <v>Попов Михаил / Фокина Алла</v>
      </c>
      <c r="J10" s="245"/>
      <c r="K10" s="46"/>
      <c r="L10" s="46" t="s">
        <v>26</v>
      </c>
      <c r="M10" s="178" t="s">
        <v>239</v>
      </c>
      <c r="N10" s="46"/>
      <c r="O10" s="187"/>
      <c r="P10" s="242"/>
      <c r="Q10" s="245" t="str">
        <f>'Финал и доигровки'!G23</f>
        <v>Дуплякин Юрий / Дуплякина Анна</v>
      </c>
      <c r="R10" s="245"/>
      <c r="S10" s="54">
        <v>9</v>
      </c>
      <c r="T10" s="54">
        <v>0</v>
      </c>
      <c r="U10" s="245" t="str">
        <f>'Финал и доигровки'!G24</f>
        <v>Еремеев Евгений / Алексеева Елена</v>
      </c>
      <c r="V10" s="245"/>
      <c r="W10" s="46"/>
      <c r="X10" s="46" t="s">
        <v>248</v>
      </c>
      <c r="Y10" s="183" t="s">
        <v>242</v>
      </c>
      <c r="Z10" s="26"/>
      <c r="AA10" s="26"/>
      <c r="AD10" s="157" t="str">
        <f>'Финал и доигровки'!G7</f>
        <v>Домарев Андрей / Сизова Дарья</v>
      </c>
    </row>
    <row r="11" spans="1:31" ht="27.95" customHeight="1">
      <c r="B11" s="26"/>
      <c r="C11" s="47"/>
      <c r="D11" s="71"/>
      <c r="E11" s="154"/>
      <c r="F11" s="154"/>
      <c r="G11" s="49"/>
      <c r="H11" s="49"/>
      <c r="I11" s="70"/>
      <c r="J11" s="70"/>
      <c r="K11" s="46"/>
      <c r="L11" s="46"/>
      <c r="M11" s="178"/>
      <c r="N11" s="46"/>
      <c r="O11" s="187"/>
      <c r="P11" s="190"/>
      <c r="Q11" s="70"/>
      <c r="R11" s="70"/>
      <c r="S11" s="49"/>
      <c r="T11" s="49"/>
      <c r="U11" s="70"/>
      <c r="V11" s="70"/>
      <c r="W11" s="46"/>
      <c r="X11" s="46"/>
      <c r="Y11" s="183"/>
      <c r="Z11" s="26"/>
      <c r="AA11" s="26"/>
    </row>
    <row r="12" spans="1:31" ht="27.95" customHeight="1">
      <c r="B12" s="26"/>
      <c r="C12" s="47"/>
      <c r="D12" s="242" t="s">
        <v>47</v>
      </c>
      <c r="E12" s="243" t="str">
        <f>E7</f>
        <v>Домарев Андрей / Сизова Дарья</v>
      </c>
      <c r="F12" s="244"/>
      <c r="G12" s="54">
        <v>4</v>
      </c>
      <c r="H12" s="54">
        <v>9</v>
      </c>
      <c r="I12" s="245" t="str">
        <f>I8</f>
        <v>Андреев Андрей / Ширяева Варвара</v>
      </c>
      <c r="J12" s="245"/>
      <c r="K12" s="46"/>
      <c r="L12" s="46" t="s">
        <v>28</v>
      </c>
      <c r="M12" s="178" t="s">
        <v>238</v>
      </c>
      <c r="N12" s="46"/>
      <c r="O12" s="187"/>
      <c r="P12" s="242" t="s">
        <v>47</v>
      </c>
      <c r="Q12" s="245" t="str">
        <f>Q7</f>
        <v>Чекулаев Михаил / Берсенева Елизавета</v>
      </c>
      <c r="R12" s="245"/>
      <c r="S12" s="54">
        <v>3</v>
      </c>
      <c r="T12" s="54">
        <v>9</v>
      </c>
      <c r="U12" s="245" t="str">
        <f>U8</f>
        <v>Галанов Михаил / Егорова Злата</v>
      </c>
      <c r="V12" s="245"/>
      <c r="W12" s="46"/>
      <c r="X12" s="46" t="s">
        <v>249</v>
      </c>
      <c r="Y12" s="183" t="s">
        <v>241</v>
      </c>
      <c r="Z12" s="26"/>
      <c r="AA12" s="26"/>
    </row>
    <row r="13" spans="1:31" ht="27.95" customHeight="1">
      <c r="A13" s="193">
        <v>6</v>
      </c>
      <c r="B13" s="26"/>
      <c r="C13" s="47"/>
      <c r="D13" s="242"/>
      <c r="E13" s="245" t="str">
        <f>E8</f>
        <v>Стыкалин Владимир / Шабанова Светлана</v>
      </c>
      <c r="F13" s="245"/>
      <c r="G13" s="54">
        <v>7</v>
      </c>
      <c r="H13" s="54">
        <v>8</v>
      </c>
      <c r="I13" s="245" t="str">
        <f>I9</f>
        <v>Бурдо Сергей / Шпиленок Лидия</v>
      </c>
      <c r="J13" s="245"/>
      <c r="K13" s="46"/>
      <c r="L13" s="46" t="s">
        <v>29</v>
      </c>
      <c r="M13" s="178" t="s">
        <v>239</v>
      </c>
      <c r="N13" s="46"/>
      <c r="O13" s="187" t="s">
        <v>238</v>
      </c>
      <c r="P13" s="242"/>
      <c r="Q13" s="245" t="str">
        <f>Q8</f>
        <v>Фахретдинов Фоат / Фахретдинова Джамиля*</v>
      </c>
      <c r="R13" s="245"/>
      <c r="S13" s="54">
        <v>4</v>
      </c>
      <c r="T13" s="54">
        <v>9</v>
      </c>
      <c r="U13" s="245" t="str">
        <f>U9</f>
        <v>Беликов Алексей / Егорова Мария</v>
      </c>
      <c r="V13" s="245"/>
      <c r="W13" s="46"/>
      <c r="X13" s="46" t="s">
        <v>254</v>
      </c>
      <c r="Y13" s="183" t="s">
        <v>242</v>
      </c>
      <c r="Z13" s="26"/>
      <c r="AA13" s="26"/>
      <c r="AE13" s="27" t="str">
        <f>'Финал и доигровки'!G7</f>
        <v>Домарев Андрей / Сизова Дарья</v>
      </c>
    </row>
    <row r="14" spans="1:31" ht="27.95" customHeight="1">
      <c r="B14" s="26"/>
      <c r="C14" s="47"/>
      <c r="D14" s="242"/>
      <c r="E14" s="245" t="str">
        <f>E9</f>
        <v>Попов Иван / Гатайло Светлана</v>
      </c>
      <c r="F14" s="245"/>
      <c r="G14" s="54">
        <v>8</v>
      </c>
      <c r="H14" s="54">
        <v>9</v>
      </c>
      <c r="I14" s="245" t="str">
        <f>I10</f>
        <v>Попов Михаил / Фокина Алла</v>
      </c>
      <c r="J14" s="245"/>
      <c r="K14" s="46"/>
      <c r="L14" s="46" t="s">
        <v>30</v>
      </c>
      <c r="M14" s="178" t="s">
        <v>236</v>
      </c>
      <c r="N14" s="46"/>
      <c r="O14" s="187"/>
      <c r="P14" s="242"/>
      <c r="Q14" s="245" t="str">
        <f>Q9</f>
        <v>Саморуков Юрий / Преснякова Елена</v>
      </c>
      <c r="R14" s="245"/>
      <c r="S14" s="54">
        <v>9</v>
      </c>
      <c r="T14" s="54">
        <v>0</v>
      </c>
      <c r="U14" s="245" t="str">
        <f>U10</f>
        <v>Еремеев Евгений / Алексеева Елена</v>
      </c>
      <c r="V14" s="245"/>
      <c r="W14" s="46"/>
      <c r="X14" s="46" t="s">
        <v>257</v>
      </c>
      <c r="Y14" s="183" t="s">
        <v>243</v>
      </c>
      <c r="Z14" s="26"/>
      <c r="AA14" s="26"/>
    </row>
    <row r="15" spans="1:31" ht="27.95" customHeight="1">
      <c r="B15" s="26"/>
      <c r="C15" s="47"/>
      <c r="D15" s="242"/>
      <c r="E15" s="245" t="str">
        <f>E10</f>
        <v>Попов Дмитрий / Ерасова Екатерина</v>
      </c>
      <c r="F15" s="245"/>
      <c r="G15" s="54">
        <v>3</v>
      </c>
      <c r="H15" s="54">
        <v>9</v>
      </c>
      <c r="I15" s="245" t="str">
        <f>I7</f>
        <v>Лукин Сергей / Князева Елена</v>
      </c>
      <c r="J15" s="245"/>
      <c r="K15" s="46"/>
      <c r="L15" s="46" t="s">
        <v>31</v>
      </c>
      <c r="M15" s="178" t="s">
        <v>237</v>
      </c>
      <c r="N15" s="46"/>
      <c r="O15" s="187"/>
      <c r="P15" s="242"/>
      <c r="Q15" s="245" t="str">
        <f>Q10</f>
        <v>Дуплякин Юрий / Дуплякина Анна</v>
      </c>
      <c r="R15" s="245"/>
      <c r="S15" s="54">
        <v>7</v>
      </c>
      <c r="T15" s="54">
        <v>6</v>
      </c>
      <c r="U15" s="245" t="str">
        <f>U7</f>
        <v>Карпов Илья / Егорова Анна</v>
      </c>
      <c r="V15" s="245"/>
      <c r="W15" s="46"/>
      <c r="X15" s="46" t="s">
        <v>258</v>
      </c>
      <c r="Y15" s="183" t="s">
        <v>240</v>
      </c>
      <c r="Z15" s="26"/>
      <c r="AA15" s="26"/>
    </row>
    <row r="16" spans="1:31" ht="27.95" customHeight="1">
      <c r="B16" s="26"/>
      <c r="C16" s="47"/>
      <c r="D16" s="71"/>
      <c r="E16" s="154"/>
      <c r="F16" s="154"/>
      <c r="G16" s="49"/>
      <c r="H16" s="49"/>
      <c r="I16" s="70"/>
      <c r="J16" s="70"/>
      <c r="K16" s="46"/>
      <c r="L16" s="46"/>
      <c r="M16" s="178"/>
      <c r="N16" s="46"/>
      <c r="O16" s="187"/>
      <c r="P16" s="190"/>
      <c r="Q16" s="70"/>
      <c r="R16" s="70"/>
      <c r="S16" s="49"/>
      <c r="T16" s="49"/>
      <c r="U16" s="70"/>
      <c r="V16" s="70"/>
      <c r="W16" s="46"/>
      <c r="X16" s="46"/>
      <c r="Y16" s="183"/>
      <c r="Z16" s="26"/>
      <c r="AA16" s="26"/>
    </row>
    <row r="17" spans="1:27" ht="27.95" customHeight="1">
      <c r="B17" s="26"/>
      <c r="C17" s="47"/>
      <c r="D17" s="242" t="s">
        <v>52</v>
      </c>
      <c r="E17" s="243" t="str">
        <f>E7</f>
        <v>Домарев Андрей / Сизова Дарья</v>
      </c>
      <c r="F17" s="244"/>
      <c r="G17" s="54">
        <v>4</v>
      </c>
      <c r="H17" s="54">
        <v>9</v>
      </c>
      <c r="I17" s="245" t="str">
        <f>I9</f>
        <v>Бурдо Сергей / Шпиленок Лидия</v>
      </c>
      <c r="J17" s="245"/>
      <c r="K17" s="46"/>
      <c r="L17" s="46" t="s">
        <v>33</v>
      </c>
      <c r="M17" s="178" t="s">
        <v>240</v>
      </c>
      <c r="N17" s="46"/>
      <c r="O17" s="187"/>
      <c r="P17" s="242" t="s">
        <v>52</v>
      </c>
      <c r="Q17" s="245" t="str">
        <f>Q7</f>
        <v>Чекулаев Михаил / Берсенева Елизавета</v>
      </c>
      <c r="R17" s="245"/>
      <c r="S17" s="54">
        <v>4</v>
      </c>
      <c r="T17" s="54">
        <v>9</v>
      </c>
      <c r="U17" s="245" t="str">
        <f>U9</f>
        <v>Беликов Алексей / Егорова Мария</v>
      </c>
      <c r="V17" s="245"/>
      <c r="W17" s="46"/>
      <c r="X17" s="46" t="s">
        <v>246</v>
      </c>
      <c r="Y17" s="183" t="s">
        <v>237</v>
      </c>
      <c r="Z17" s="26"/>
      <c r="AA17" s="26"/>
    </row>
    <row r="18" spans="1:27" ht="27.95" customHeight="1">
      <c r="A18" s="193">
        <v>7</v>
      </c>
      <c r="B18" s="26"/>
      <c r="C18" s="47"/>
      <c r="D18" s="242"/>
      <c r="E18" s="245" t="str">
        <f>E8</f>
        <v>Стыкалин Владимир / Шабанова Светлана</v>
      </c>
      <c r="F18" s="245"/>
      <c r="G18" s="54">
        <v>2</v>
      </c>
      <c r="H18" s="54">
        <v>9</v>
      </c>
      <c r="I18" s="245" t="str">
        <f>I10</f>
        <v>Попов Михаил / Фокина Алла</v>
      </c>
      <c r="J18" s="245"/>
      <c r="K18" s="46"/>
      <c r="L18" s="46" t="s">
        <v>34</v>
      </c>
      <c r="M18" s="178" t="s">
        <v>241</v>
      </c>
      <c r="N18" s="46"/>
      <c r="O18" s="187" t="s">
        <v>239</v>
      </c>
      <c r="P18" s="242"/>
      <c r="Q18" s="245" t="str">
        <f>Q8</f>
        <v>Фахретдинов Фоат / Фахретдинова Джамиля*</v>
      </c>
      <c r="R18" s="245"/>
      <c r="S18" s="54">
        <v>9</v>
      </c>
      <c r="T18" s="54">
        <v>0</v>
      </c>
      <c r="U18" s="245" t="str">
        <f>U10</f>
        <v>Еремеев Евгений / Алексеева Елена</v>
      </c>
      <c r="V18" s="245"/>
      <c r="W18" s="46"/>
      <c r="X18" s="46" t="s">
        <v>255</v>
      </c>
      <c r="Y18" s="183" t="s">
        <v>238</v>
      </c>
      <c r="Z18" s="26"/>
      <c r="AA18" s="26"/>
    </row>
    <row r="19" spans="1:27" ht="27.95" customHeight="1">
      <c r="B19" s="26"/>
      <c r="C19" s="47"/>
      <c r="D19" s="242"/>
      <c r="E19" s="245" t="str">
        <f>E9</f>
        <v>Попов Иван / Гатайло Светлана</v>
      </c>
      <c r="F19" s="245"/>
      <c r="G19" s="54">
        <v>9</v>
      </c>
      <c r="H19" s="54">
        <v>6</v>
      </c>
      <c r="I19" s="245" t="str">
        <f>I7</f>
        <v>Лукин Сергей / Князева Елена</v>
      </c>
      <c r="J19" s="245"/>
      <c r="K19" s="46"/>
      <c r="L19" s="46" t="s">
        <v>35</v>
      </c>
      <c r="M19" s="178" t="s">
        <v>239</v>
      </c>
      <c r="N19" s="46"/>
      <c r="O19" s="187"/>
      <c r="P19" s="242"/>
      <c r="Q19" s="245" t="str">
        <f>Q9</f>
        <v>Саморуков Юрий / Преснякова Елена</v>
      </c>
      <c r="R19" s="245"/>
      <c r="S19" s="54">
        <v>9</v>
      </c>
      <c r="T19" s="54">
        <v>8</v>
      </c>
      <c r="U19" s="245" t="str">
        <f>U7</f>
        <v>Карпов Илья / Егорова Анна</v>
      </c>
      <c r="V19" s="245"/>
      <c r="W19" s="46"/>
      <c r="X19" s="46" t="s">
        <v>259</v>
      </c>
      <c r="Y19" s="183" t="s">
        <v>242</v>
      </c>
      <c r="Z19" s="26"/>
      <c r="AA19" s="26"/>
    </row>
    <row r="20" spans="1:27" ht="27.95" customHeight="1">
      <c r="B20" s="26"/>
      <c r="C20" s="47"/>
      <c r="D20" s="242"/>
      <c r="E20" s="245" t="str">
        <f>E10</f>
        <v>Попов Дмитрий / Ерасова Екатерина</v>
      </c>
      <c r="F20" s="245"/>
      <c r="G20" s="54">
        <v>6</v>
      </c>
      <c r="H20" s="54">
        <v>9</v>
      </c>
      <c r="I20" s="245" t="str">
        <f>I8</f>
        <v>Андреев Андрей / Ширяева Варвара</v>
      </c>
      <c r="J20" s="245"/>
      <c r="K20" s="46"/>
      <c r="L20" s="46" t="s">
        <v>36</v>
      </c>
      <c r="M20" s="178" t="s">
        <v>236</v>
      </c>
      <c r="N20" s="46"/>
      <c r="O20" s="187"/>
      <c r="P20" s="242"/>
      <c r="Q20" s="245" t="str">
        <f>Q10</f>
        <v>Дуплякин Юрий / Дуплякина Анна</v>
      </c>
      <c r="R20" s="245"/>
      <c r="S20" s="54">
        <v>9</v>
      </c>
      <c r="T20" s="54">
        <v>1</v>
      </c>
      <c r="U20" s="245" t="str">
        <f>U8</f>
        <v>Галанов Михаил / Егорова Злата</v>
      </c>
      <c r="V20" s="245"/>
      <c r="W20" s="46"/>
      <c r="X20" s="46" t="s">
        <v>260</v>
      </c>
      <c r="Y20" s="183" t="s">
        <v>243</v>
      </c>
      <c r="Z20" s="26"/>
      <c r="AA20" s="26"/>
    </row>
    <row r="21" spans="1:27" ht="27.95" customHeight="1">
      <c r="B21" s="26"/>
      <c r="C21" s="47"/>
      <c r="D21" s="71"/>
      <c r="E21" s="154"/>
      <c r="F21" s="154"/>
      <c r="G21" s="49"/>
      <c r="H21" s="49"/>
      <c r="I21" s="70"/>
      <c r="J21" s="70"/>
      <c r="K21" s="46"/>
      <c r="L21" s="46"/>
      <c r="M21" s="178"/>
      <c r="N21" s="46"/>
      <c r="O21" s="187"/>
      <c r="P21" s="190"/>
      <c r="Q21" s="70"/>
      <c r="R21" s="70"/>
      <c r="S21" s="49"/>
      <c r="T21" s="49"/>
      <c r="U21" s="70"/>
      <c r="V21" s="70"/>
      <c r="W21" s="46"/>
      <c r="X21" s="46"/>
      <c r="Y21" s="183"/>
      <c r="Z21" s="26"/>
      <c r="AA21" s="26"/>
    </row>
    <row r="22" spans="1:27" ht="27.95" customHeight="1">
      <c r="B22" s="26"/>
      <c r="C22" s="47"/>
      <c r="D22" s="242" t="s">
        <v>22</v>
      </c>
      <c r="E22" s="243" t="str">
        <f>E7</f>
        <v>Домарев Андрей / Сизова Дарья</v>
      </c>
      <c r="F22" s="244"/>
      <c r="G22" s="54">
        <v>3</v>
      </c>
      <c r="H22" s="54">
        <v>8</v>
      </c>
      <c r="I22" s="245" t="str">
        <f>I10</f>
        <v>Попов Михаил / Фокина Алла</v>
      </c>
      <c r="J22" s="245"/>
      <c r="K22" s="46"/>
      <c r="L22" s="46" t="s">
        <v>38</v>
      </c>
      <c r="M22" s="178" t="s">
        <v>236</v>
      </c>
      <c r="N22" s="46"/>
      <c r="O22" s="187"/>
      <c r="P22" s="242" t="s">
        <v>22</v>
      </c>
      <c r="Q22" s="245" t="str">
        <f>Q7</f>
        <v>Чекулаев Михаил / Берсенева Елизавета</v>
      </c>
      <c r="R22" s="245"/>
      <c r="S22" s="54">
        <v>3</v>
      </c>
      <c r="T22" s="54">
        <v>9</v>
      </c>
      <c r="U22" s="245" t="str">
        <f>U10</f>
        <v>Еремеев Евгений / Алексеева Елена</v>
      </c>
      <c r="V22" s="245"/>
      <c r="W22" s="46"/>
      <c r="X22" s="46" t="s">
        <v>250</v>
      </c>
      <c r="Y22" s="183" t="s">
        <v>243</v>
      </c>
      <c r="Z22" s="26"/>
      <c r="AA22" s="26"/>
    </row>
    <row r="23" spans="1:27" ht="27.95" customHeight="1">
      <c r="A23" s="193">
        <v>1</v>
      </c>
      <c r="B23" s="26"/>
      <c r="C23" s="47"/>
      <c r="D23" s="242"/>
      <c r="E23" s="245" t="str">
        <f>E8</f>
        <v>Стыкалин Владимир / Шабанова Светлана</v>
      </c>
      <c r="F23" s="245"/>
      <c r="G23" s="54">
        <v>9</v>
      </c>
      <c r="H23" s="54">
        <v>5</v>
      </c>
      <c r="I23" s="245" t="str">
        <f>I7</f>
        <v>Лукин Сергей / Князева Елена</v>
      </c>
      <c r="J23" s="245"/>
      <c r="K23" s="46"/>
      <c r="L23" s="46" t="s">
        <v>39</v>
      </c>
      <c r="M23" s="178" t="s">
        <v>237</v>
      </c>
      <c r="N23" s="46"/>
      <c r="O23" s="187" t="s">
        <v>243</v>
      </c>
      <c r="P23" s="242"/>
      <c r="Q23" s="245" t="str">
        <f>Q8</f>
        <v>Фахретдинов Фоат / Фахретдинова Джамиля*</v>
      </c>
      <c r="R23" s="245"/>
      <c r="S23" s="54">
        <v>1</v>
      </c>
      <c r="T23" s="54">
        <v>9</v>
      </c>
      <c r="U23" s="245" t="str">
        <f>U7</f>
        <v>Карпов Илья / Егорова Анна</v>
      </c>
      <c r="V23" s="245"/>
      <c r="W23" s="46"/>
      <c r="X23" s="46" t="s">
        <v>261</v>
      </c>
      <c r="Y23" s="183" t="s">
        <v>240</v>
      </c>
      <c r="Z23" s="26"/>
      <c r="AA23" s="26"/>
    </row>
    <row r="24" spans="1:27" ht="27.95" customHeight="1">
      <c r="B24" s="26"/>
      <c r="C24" s="47"/>
      <c r="D24" s="242"/>
      <c r="E24" s="245" t="str">
        <f>E9</f>
        <v>Попов Иван / Гатайло Светлана</v>
      </c>
      <c r="F24" s="245"/>
      <c r="G24" s="54">
        <v>8</v>
      </c>
      <c r="H24" s="54">
        <v>9</v>
      </c>
      <c r="I24" s="245" t="str">
        <f>I8</f>
        <v>Андреев Андрей / Ширяева Варвара</v>
      </c>
      <c r="J24" s="245"/>
      <c r="K24" s="46"/>
      <c r="L24" s="46" t="s">
        <v>40</v>
      </c>
      <c r="M24" s="178" t="s">
        <v>238</v>
      </c>
      <c r="N24" s="46"/>
      <c r="O24" s="187"/>
      <c r="P24" s="242"/>
      <c r="Q24" s="245" t="str">
        <f>Q9</f>
        <v>Саморуков Юрий / Преснякова Елена</v>
      </c>
      <c r="R24" s="245"/>
      <c r="S24" s="54">
        <v>2</v>
      </c>
      <c r="T24" s="54">
        <v>9</v>
      </c>
      <c r="U24" s="245" t="str">
        <f>U8</f>
        <v>Галанов Михаил / Егорова Злата</v>
      </c>
      <c r="V24" s="245"/>
      <c r="W24" s="46"/>
      <c r="X24" s="46" t="s">
        <v>262</v>
      </c>
      <c r="Y24" s="183" t="s">
        <v>241</v>
      </c>
      <c r="Z24" s="26"/>
      <c r="AA24" s="26"/>
    </row>
    <row r="25" spans="1:27" ht="27.95" customHeight="1">
      <c r="B25" s="26"/>
      <c r="C25" s="47"/>
      <c r="D25" s="242"/>
      <c r="E25" s="245" t="str">
        <f>E10</f>
        <v>Попов Дмитрий / Ерасова Екатерина</v>
      </c>
      <c r="F25" s="245"/>
      <c r="G25" s="54">
        <v>6</v>
      </c>
      <c r="H25" s="54">
        <v>10</v>
      </c>
      <c r="I25" s="245" t="str">
        <f>I9</f>
        <v>Бурдо Сергей / Шпиленок Лидия</v>
      </c>
      <c r="J25" s="245"/>
      <c r="K25" s="46"/>
      <c r="L25" s="46" t="s">
        <v>41</v>
      </c>
      <c r="M25" s="178" t="s">
        <v>239</v>
      </c>
      <c r="N25" s="46"/>
      <c r="O25" s="187"/>
      <c r="P25" s="242"/>
      <c r="Q25" s="245" t="str">
        <f>Q10</f>
        <v>Дуплякин Юрий / Дуплякина Анна</v>
      </c>
      <c r="R25" s="245"/>
      <c r="S25" s="54">
        <v>9</v>
      </c>
      <c r="T25" s="54">
        <v>3</v>
      </c>
      <c r="U25" s="245" t="str">
        <f>U9</f>
        <v>Беликов Алексей / Егорова Мария</v>
      </c>
      <c r="V25" s="245"/>
      <c r="W25" s="46"/>
      <c r="X25" s="46" t="s">
        <v>263</v>
      </c>
      <c r="Y25" s="183" t="s">
        <v>242</v>
      </c>
      <c r="Z25" s="26"/>
      <c r="AA25" s="26"/>
    </row>
    <row r="26" spans="1:27" ht="27.95" customHeight="1">
      <c r="B26" s="26"/>
      <c r="C26" s="47"/>
      <c r="D26" s="71"/>
      <c r="E26" s="154"/>
      <c r="F26" s="154"/>
      <c r="G26" s="49"/>
      <c r="H26" s="49"/>
      <c r="I26" s="70"/>
      <c r="J26" s="70"/>
      <c r="K26" s="46"/>
      <c r="L26" s="46"/>
      <c r="M26" s="178"/>
      <c r="N26" s="46"/>
      <c r="O26" s="187"/>
      <c r="P26" s="190"/>
      <c r="Q26" s="70"/>
      <c r="R26" s="70"/>
      <c r="S26" s="49"/>
      <c r="T26" s="49"/>
      <c r="U26" s="70"/>
      <c r="V26" s="70"/>
      <c r="W26" s="46"/>
      <c r="X26" s="46"/>
      <c r="Y26" s="183"/>
      <c r="Z26" s="26"/>
      <c r="AA26" s="26"/>
    </row>
    <row r="27" spans="1:27" ht="27.95" customHeight="1">
      <c r="B27" s="26"/>
      <c r="C27" s="47"/>
      <c r="D27" s="242" t="s">
        <v>27</v>
      </c>
      <c r="E27" s="243" t="str">
        <f>E7</f>
        <v>Домарев Андрей / Сизова Дарья</v>
      </c>
      <c r="F27" s="244"/>
      <c r="G27" s="54">
        <v>9</v>
      </c>
      <c r="H27" s="54">
        <v>0</v>
      </c>
      <c r="I27" s="245" t="str">
        <f>E10</f>
        <v>Попов Дмитрий / Ерасова Екатерина</v>
      </c>
      <c r="J27" s="245"/>
      <c r="K27" s="46"/>
      <c r="L27" s="46" t="s">
        <v>43</v>
      </c>
      <c r="M27" s="178" t="s">
        <v>241</v>
      </c>
      <c r="N27" s="46"/>
      <c r="O27" s="187"/>
      <c r="P27" s="242" t="s">
        <v>27</v>
      </c>
      <c r="Q27" s="245" t="str">
        <f>Q7</f>
        <v>Чекулаев Михаил / Берсенева Елизавета</v>
      </c>
      <c r="R27" s="245"/>
      <c r="S27" s="54">
        <v>0</v>
      </c>
      <c r="T27" s="54">
        <v>9</v>
      </c>
      <c r="U27" s="245" t="str">
        <f>Q10</f>
        <v>Дуплякин Юрий / Дуплякина Анна</v>
      </c>
      <c r="V27" s="245"/>
      <c r="W27" s="46"/>
      <c r="X27" s="46" t="s">
        <v>251</v>
      </c>
      <c r="Y27" s="183" t="s">
        <v>239</v>
      </c>
      <c r="Z27" s="26"/>
      <c r="AA27" s="26"/>
    </row>
    <row r="28" spans="1:27" ht="27.95" customHeight="1">
      <c r="A28" s="193">
        <v>2</v>
      </c>
      <c r="B28" s="26"/>
      <c r="C28" s="47"/>
      <c r="D28" s="242"/>
      <c r="E28" s="245" t="str">
        <f>E8</f>
        <v>Стыкалин Владимир / Шабанова Светлана</v>
      </c>
      <c r="F28" s="245"/>
      <c r="G28" s="54">
        <v>3</v>
      </c>
      <c r="H28" s="54">
        <v>9</v>
      </c>
      <c r="I28" s="245" t="str">
        <f>E9</f>
        <v>Попов Иван / Гатайло Светлана</v>
      </c>
      <c r="J28" s="245"/>
      <c r="K28" s="46"/>
      <c r="L28" s="46" t="s">
        <v>44</v>
      </c>
      <c r="M28" s="178" t="s">
        <v>240</v>
      </c>
      <c r="N28" s="46"/>
      <c r="O28" s="187" t="s">
        <v>236</v>
      </c>
      <c r="P28" s="242"/>
      <c r="Q28" s="245" t="str">
        <f>Q8</f>
        <v>Фахретдинов Фоат / Фахретдинова Джамиля*</v>
      </c>
      <c r="R28" s="245"/>
      <c r="S28" s="54">
        <v>9</v>
      </c>
      <c r="T28" s="54">
        <v>2</v>
      </c>
      <c r="U28" s="245" t="str">
        <f>Q9</f>
        <v>Саморуков Юрий / Преснякова Елена</v>
      </c>
      <c r="V28" s="245"/>
      <c r="W28" s="46"/>
      <c r="X28" s="46" t="s">
        <v>264</v>
      </c>
      <c r="Y28" s="183" t="s">
        <v>236</v>
      </c>
      <c r="Z28" s="26"/>
      <c r="AA28" s="26"/>
    </row>
    <row r="29" spans="1:27" ht="27.95" customHeight="1">
      <c r="B29" s="26"/>
      <c r="C29" s="47"/>
      <c r="D29" s="242"/>
      <c r="E29" s="245" t="str">
        <f>I10</f>
        <v>Попов Михаил / Фокина Алла</v>
      </c>
      <c r="F29" s="245"/>
      <c r="G29" s="54">
        <v>8</v>
      </c>
      <c r="H29" s="54">
        <v>6</v>
      </c>
      <c r="I29" s="245" t="str">
        <f>I7</f>
        <v>Лукин Сергей / Князева Елена</v>
      </c>
      <c r="J29" s="245"/>
      <c r="K29" s="46"/>
      <c r="L29" s="46" t="s">
        <v>45</v>
      </c>
      <c r="M29" s="178" t="s">
        <v>238</v>
      </c>
      <c r="N29" s="46"/>
      <c r="O29" s="187"/>
      <c r="P29" s="242"/>
      <c r="Q29" s="245" t="str">
        <f>U10</f>
        <v>Еремеев Евгений / Алексеева Елена</v>
      </c>
      <c r="R29" s="245"/>
      <c r="S29" s="54">
        <v>9</v>
      </c>
      <c r="T29" s="54">
        <v>2</v>
      </c>
      <c r="U29" s="245" t="str">
        <f>U7</f>
        <v>Карпов Илья / Егорова Анна</v>
      </c>
      <c r="V29" s="245"/>
      <c r="W29" s="46"/>
      <c r="X29" s="46" t="s">
        <v>265</v>
      </c>
      <c r="Y29" s="183" t="s">
        <v>242</v>
      </c>
      <c r="Z29" s="26"/>
      <c r="AA29" s="26"/>
    </row>
    <row r="30" spans="1:27" ht="27.95" customHeight="1">
      <c r="B30" s="26"/>
      <c r="C30" s="47"/>
      <c r="D30" s="242"/>
      <c r="E30" s="245" t="str">
        <f>I9</f>
        <v>Бурдо Сергей / Шпиленок Лидия</v>
      </c>
      <c r="F30" s="245"/>
      <c r="G30" s="54">
        <v>4</v>
      </c>
      <c r="H30" s="54">
        <v>9</v>
      </c>
      <c r="I30" s="245" t="str">
        <f>I8</f>
        <v>Андреев Андрей / Ширяева Варвара</v>
      </c>
      <c r="J30" s="245"/>
      <c r="K30" s="46"/>
      <c r="L30" s="46" t="s">
        <v>46</v>
      </c>
      <c r="M30" s="178" t="s">
        <v>237</v>
      </c>
      <c r="N30" s="46"/>
      <c r="O30" s="187"/>
      <c r="P30" s="242"/>
      <c r="Q30" s="245" t="str">
        <f>U9</f>
        <v>Беликов Алексей / Егорова Мария</v>
      </c>
      <c r="R30" s="245"/>
      <c r="S30" s="54">
        <v>5</v>
      </c>
      <c r="T30" s="54">
        <v>9</v>
      </c>
      <c r="U30" s="245" t="str">
        <f>U8</f>
        <v>Галанов Михаил / Егорова Злата</v>
      </c>
      <c r="V30" s="245"/>
      <c r="W30" s="46"/>
      <c r="X30" s="46" t="s">
        <v>266</v>
      </c>
      <c r="Y30" s="183" t="s">
        <v>243</v>
      </c>
      <c r="Z30" s="26"/>
      <c r="AA30" s="26"/>
    </row>
    <row r="31" spans="1:27" ht="27.95" customHeight="1">
      <c r="B31" s="26"/>
      <c r="C31" s="47"/>
      <c r="D31" s="71"/>
      <c r="E31" s="154"/>
      <c r="F31" s="154"/>
      <c r="G31" s="49"/>
      <c r="H31" s="49"/>
      <c r="I31" s="70"/>
      <c r="J31" s="70"/>
      <c r="K31" s="46"/>
      <c r="L31" s="46"/>
      <c r="M31" s="178"/>
      <c r="N31" s="46"/>
      <c r="O31" s="187"/>
      <c r="P31" s="190"/>
      <c r="Q31" s="70"/>
      <c r="R31" s="70"/>
      <c r="S31" s="49"/>
      <c r="T31" s="49"/>
      <c r="U31" s="70"/>
      <c r="V31" s="70"/>
      <c r="W31" s="46"/>
      <c r="X31" s="46"/>
      <c r="Y31" s="183"/>
      <c r="Z31" s="26"/>
      <c r="AA31" s="26"/>
    </row>
    <row r="32" spans="1:27" ht="27.95" customHeight="1">
      <c r="B32" s="26"/>
      <c r="C32" s="47"/>
      <c r="D32" s="242" t="s">
        <v>32</v>
      </c>
      <c r="E32" s="243" t="str">
        <f>E7</f>
        <v>Домарев Андрей / Сизова Дарья</v>
      </c>
      <c r="F32" s="244"/>
      <c r="G32" s="54">
        <v>5</v>
      </c>
      <c r="H32" s="54">
        <v>7</v>
      </c>
      <c r="I32" s="245" t="str">
        <f>E9</f>
        <v>Попов Иван / Гатайло Светлана</v>
      </c>
      <c r="J32" s="245"/>
      <c r="K32" s="46"/>
      <c r="L32" s="46" t="s">
        <v>48</v>
      </c>
      <c r="M32" s="178" t="s">
        <v>237</v>
      </c>
      <c r="N32" s="46"/>
      <c r="O32" s="187"/>
      <c r="P32" s="242" t="s">
        <v>32</v>
      </c>
      <c r="Q32" s="245" t="str">
        <f>Q7</f>
        <v>Чекулаев Михаил / Берсенева Елизавета</v>
      </c>
      <c r="R32" s="245"/>
      <c r="S32" s="54">
        <v>0</v>
      </c>
      <c r="T32" s="54">
        <v>9</v>
      </c>
      <c r="U32" s="245" t="str">
        <f>Q9</f>
        <v>Саморуков Юрий / Преснякова Елена</v>
      </c>
      <c r="V32" s="245"/>
      <c r="W32" s="46"/>
      <c r="X32" s="46" t="s">
        <v>252</v>
      </c>
      <c r="Y32" s="183" t="s">
        <v>243</v>
      </c>
      <c r="Z32" s="26"/>
      <c r="AA32" s="26"/>
    </row>
    <row r="33" spans="1:27" ht="27.95" customHeight="1">
      <c r="A33" s="193">
        <v>3</v>
      </c>
      <c r="B33" s="26"/>
      <c r="C33" s="47"/>
      <c r="D33" s="242"/>
      <c r="E33" s="245" t="str">
        <f>E8</f>
        <v>Стыкалин Владимир / Шабанова Светлана</v>
      </c>
      <c r="F33" s="245"/>
      <c r="G33" s="54">
        <v>5</v>
      </c>
      <c r="H33" s="54">
        <v>4</v>
      </c>
      <c r="I33" s="245" t="str">
        <f>E10</f>
        <v>Попов Дмитрий / Ерасова Екатерина</v>
      </c>
      <c r="J33" s="245"/>
      <c r="K33" s="46"/>
      <c r="L33" s="46" t="s">
        <v>49</v>
      </c>
      <c r="M33" s="178" t="s">
        <v>238</v>
      </c>
      <c r="N33" s="46"/>
      <c r="O33" s="187" t="s">
        <v>237</v>
      </c>
      <c r="P33" s="242"/>
      <c r="Q33" s="245" t="str">
        <f>Q8</f>
        <v>Фахретдинов Фоат / Фахретдинова Джамиля*</v>
      </c>
      <c r="R33" s="245"/>
      <c r="S33" s="54">
        <v>9</v>
      </c>
      <c r="T33" s="54">
        <v>2</v>
      </c>
      <c r="U33" s="245" t="str">
        <f>Q10</f>
        <v>Дуплякин Юрий / Дуплякина Анна</v>
      </c>
      <c r="V33" s="245"/>
      <c r="W33" s="46"/>
      <c r="X33" s="46" t="s">
        <v>256</v>
      </c>
      <c r="Y33" s="183" t="s">
        <v>242</v>
      </c>
      <c r="Z33" s="26"/>
      <c r="AA33" s="26"/>
    </row>
    <row r="34" spans="1:27" ht="27.95" customHeight="1">
      <c r="B34" s="26"/>
      <c r="C34" s="47"/>
      <c r="D34" s="242"/>
      <c r="E34" s="245" t="str">
        <f>I10</f>
        <v>Попов Михаил / Фокина Алла</v>
      </c>
      <c r="F34" s="245"/>
      <c r="G34" s="54">
        <v>4</v>
      </c>
      <c r="H34" s="54">
        <v>9</v>
      </c>
      <c r="I34" s="245" t="str">
        <f>I8</f>
        <v>Андреев Андрей / Ширяева Варвара</v>
      </c>
      <c r="J34" s="245"/>
      <c r="K34" s="46"/>
      <c r="L34" s="46" t="s">
        <v>50</v>
      </c>
      <c r="M34" s="178" t="s">
        <v>240</v>
      </c>
      <c r="N34" s="46"/>
      <c r="O34" s="187"/>
      <c r="P34" s="242"/>
      <c r="Q34" s="245" t="str">
        <f>U10</f>
        <v>Еремеев Евгений / Алексеева Елена</v>
      </c>
      <c r="R34" s="245"/>
      <c r="S34" s="54">
        <v>9</v>
      </c>
      <c r="T34" s="54">
        <v>2</v>
      </c>
      <c r="U34" s="245" t="str">
        <f>U8</f>
        <v>Галанов Михаил / Егорова Злата</v>
      </c>
      <c r="V34" s="245"/>
      <c r="W34" s="46"/>
      <c r="X34" s="46" t="s">
        <v>267</v>
      </c>
      <c r="Y34" s="183" t="s">
        <v>236</v>
      </c>
      <c r="Z34" s="26"/>
      <c r="AA34" s="26"/>
    </row>
    <row r="35" spans="1:27" ht="27.95" customHeight="1">
      <c r="B35" s="26"/>
      <c r="C35" s="47"/>
      <c r="D35" s="242"/>
      <c r="E35" s="245" t="str">
        <f>I9</f>
        <v>Бурдо Сергей / Шпиленок Лидия</v>
      </c>
      <c r="F35" s="245"/>
      <c r="G35" s="54">
        <v>9</v>
      </c>
      <c r="H35" s="54">
        <v>1</v>
      </c>
      <c r="I35" s="245" t="str">
        <f>I7</f>
        <v>Лукин Сергей / Князева Елена</v>
      </c>
      <c r="J35" s="245"/>
      <c r="K35" s="46"/>
      <c r="L35" s="46" t="s">
        <v>51</v>
      </c>
      <c r="M35" s="178" t="s">
        <v>241</v>
      </c>
      <c r="N35" s="46"/>
      <c r="O35" s="187"/>
      <c r="P35" s="242"/>
      <c r="Q35" s="245" t="str">
        <f>U9</f>
        <v>Беликов Алексей / Егорова Мария</v>
      </c>
      <c r="R35" s="245"/>
      <c r="S35" s="54">
        <v>9</v>
      </c>
      <c r="T35" s="54">
        <v>8</v>
      </c>
      <c r="U35" s="245" t="str">
        <f>U7</f>
        <v>Карпов Илья / Егорова Анна</v>
      </c>
      <c r="V35" s="245"/>
      <c r="W35" s="46"/>
      <c r="X35" s="46" t="s">
        <v>268</v>
      </c>
      <c r="Y35" s="183" t="s">
        <v>239</v>
      </c>
      <c r="Z35" s="26"/>
      <c r="AA35" s="26"/>
    </row>
    <row r="36" spans="1:27" ht="27.95" customHeight="1">
      <c r="B36" s="26"/>
      <c r="C36" s="47"/>
      <c r="D36" s="71"/>
      <c r="E36" s="154"/>
      <c r="F36" s="154"/>
      <c r="G36" s="49"/>
      <c r="H36" s="49"/>
      <c r="I36" s="70"/>
      <c r="J36" s="70"/>
      <c r="K36" s="46"/>
      <c r="L36" s="46"/>
      <c r="M36" s="178"/>
      <c r="N36" s="46"/>
      <c r="O36" s="187"/>
      <c r="P36" s="190"/>
      <c r="Q36" s="70"/>
      <c r="R36" s="70"/>
      <c r="S36" s="49"/>
      <c r="T36" s="49"/>
      <c r="U36" s="70"/>
      <c r="V36" s="70"/>
      <c r="W36" s="46"/>
      <c r="X36" s="46"/>
      <c r="Y36" s="183"/>
      <c r="Z36" s="26"/>
      <c r="AA36" s="26"/>
    </row>
    <row r="37" spans="1:27" ht="27.95" customHeight="1">
      <c r="B37" s="26"/>
      <c r="C37" s="47"/>
      <c r="D37" s="242" t="s">
        <v>37</v>
      </c>
      <c r="E37" s="243" t="str">
        <f>E7</f>
        <v>Домарев Андрей / Сизова Дарья</v>
      </c>
      <c r="F37" s="244"/>
      <c r="G37" s="54">
        <v>5</v>
      </c>
      <c r="H37" s="54">
        <v>7</v>
      </c>
      <c r="I37" s="245" t="str">
        <f>E8</f>
        <v>Стыкалин Владимир / Шабанова Светлана</v>
      </c>
      <c r="J37" s="245"/>
      <c r="K37" s="46"/>
      <c r="L37" s="46" t="s">
        <v>53</v>
      </c>
      <c r="M37" s="178" t="s">
        <v>240</v>
      </c>
      <c r="N37" s="46"/>
      <c r="O37" s="187"/>
      <c r="P37" s="242" t="s">
        <v>37</v>
      </c>
      <c r="Q37" s="245" t="str">
        <f>Q7</f>
        <v>Чекулаев Михаил / Берсенева Елизавета</v>
      </c>
      <c r="R37" s="245"/>
      <c r="S37" s="54">
        <v>0</v>
      </c>
      <c r="T37" s="54">
        <v>9</v>
      </c>
      <c r="U37" s="245" t="str">
        <f>Q8</f>
        <v>Фахретдинов Фоат / Фахретдинова Джамиля*</v>
      </c>
      <c r="V37" s="245"/>
      <c r="W37" s="46"/>
      <c r="X37" s="46" t="s">
        <v>253</v>
      </c>
      <c r="Y37" s="183" t="s">
        <v>238</v>
      </c>
      <c r="Z37" s="26"/>
      <c r="AA37" s="26"/>
    </row>
    <row r="38" spans="1:27" ht="27.95" customHeight="1">
      <c r="A38" s="193">
        <v>4</v>
      </c>
      <c r="B38" s="26"/>
      <c r="C38" s="47"/>
      <c r="D38" s="242"/>
      <c r="E38" s="245" t="str">
        <f>E9</f>
        <v>Попов Иван / Гатайло Светлана</v>
      </c>
      <c r="F38" s="245"/>
      <c r="G38" s="54">
        <v>9</v>
      </c>
      <c r="H38" s="54">
        <v>5</v>
      </c>
      <c r="I38" s="245" t="str">
        <f>E10</f>
        <v>Попов Дмитрий / Ерасова Екатерина</v>
      </c>
      <c r="J38" s="245"/>
      <c r="K38" s="46"/>
      <c r="L38" s="46" t="s">
        <v>54</v>
      </c>
      <c r="M38" s="178" t="s">
        <v>236</v>
      </c>
      <c r="N38" s="46"/>
      <c r="O38" s="187" t="s">
        <v>240</v>
      </c>
      <c r="P38" s="242"/>
      <c r="Q38" s="245" t="str">
        <f>Q9</f>
        <v>Саморуков Юрий / Преснякова Елена</v>
      </c>
      <c r="R38" s="245"/>
      <c r="S38" s="54">
        <v>2</v>
      </c>
      <c r="T38" s="54">
        <v>9</v>
      </c>
      <c r="U38" s="245" t="str">
        <f>Q10</f>
        <v>Дуплякин Юрий / Дуплякина Анна</v>
      </c>
      <c r="V38" s="245"/>
      <c r="W38" s="46"/>
      <c r="X38" s="46" t="s">
        <v>269</v>
      </c>
      <c r="Y38" s="183" t="s">
        <v>237</v>
      </c>
      <c r="Z38" s="26"/>
      <c r="AA38" s="26"/>
    </row>
    <row r="39" spans="1:27" ht="27.95" customHeight="1">
      <c r="B39" s="26"/>
      <c r="C39" s="47"/>
      <c r="D39" s="242"/>
      <c r="E39" s="245" t="str">
        <f>I10</f>
        <v>Попов Михаил / Фокина Алла</v>
      </c>
      <c r="F39" s="245"/>
      <c r="G39" s="54">
        <v>9</v>
      </c>
      <c r="H39" s="54">
        <v>7</v>
      </c>
      <c r="I39" s="245" t="str">
        <f>I9</f>
        <v>Бурдо Сергей / Шпиленок Лидия</v>
      </c>
      <c r="J39" s="245"/>
      <c r="K39" s="46"/>
      <c r="L39" s="46" t="s">
        <v>55</v>
      </c>
      <c r="M39" s="178" t="s">
        <v>241</v>
      </c>
      <c r="N39" s="46"/>
      <c r="O39" s="187"/>
      <c r="P39" s="242"/>
      <c r="Q39" s="245" t="str">
        <f>U10</f>
        <v>Еремеев Евгений / Алексеева Елена</v>
      </c>
      <c r="R39" s="245"/>
      <c r="S39" s="54">
        <v>9</v>
      </c>
      <c r="T39" s="54">
        <v>3</v>
      </c>
      <c r="U39" s="245" t="str">
        <f>U9</f>
        <v>Беликов Алексей / Егорова Мария</v>
      </c>
      <c r="V39" s="245"/>
      <c r="W39" s="46"/>
      <c r="X39" s="46" t="s">
        <v>217</v>
      </c>
      <c r="Y39" s="183" t="s">
        <v>243</v>
      </c>
      <c r="Z39" s="26"/>
      <c r="AA39" s="26"/>
    </row>
    <row r="40" spans="1:27" ht="27.95" customHeight="1">
      <c r="B40" s="26"/>
      <c r="C40" s="47"/>
      <c r="D40" s="242"/>
      <c r="E40" s="245" t="str">
        <f>I8</f>
        <v>Андреев Андрей / Ширяева Варвара</v>
      </c>
      <c r="F40" s="245"/>
      <c r="G40" s="54">
        <v>9</v>
      </c>
      <c r="H40" s="54">
        <v>2</v>
      </c>
      <c r="I40" s="245" t="str">
        <f>I7</f>
        <v>Лукин Сергей / Князева Елена</v>
      </c>
      <c r="J40" s="245"/>
      <c r="K40" s="46"/>
      <c r="L40" s="46" t="s">
        <v>56</v>
      </c>
      <c r="M40" s="178" t="s">
        <v>239</v>
      </c>
      <c r="N40" s="46"/>
      <c r="O40" s="187"/>
      <c r="P40" s="242"/>
      <c r="Q40" s="245" t="str">
        <f>U8</f>
        <v>Галанов Михаил / Егорова Злата</v>
      </c>
      <c r="R40" s="245"/>
      <c r="S40" s="54">
        <v>9</v>
      </c>
      <c r="T40" s="54">
        <v>4</v>
      </c>
      <c r="U40" s="245" t="str">
        <f>U7</f>
        <v>Карпов Илья / Егорова Анна</v>
      </c>
      <c r="V40" s="245"/>
      <c r="W40" s="46"/>
      <c r="X40" s="46" t="s">
        <v>218</v>
      </c>
      <c r="Y40" s="183" t="s">
        <v>242</v>
      </c>
      <c r="Z40" s="26"/>
      <c r="AA40" s="26"/>
    </row>
    <row r="41" spans="1:27" ht="21.75" thickBot="1">
      <c r="B41" s="26"/>
      <c r="C41" s="50"/>
      <c r="D41" s="51"/>
      <c r="E41" s="52"/>
      <c r="F41" s="52"/>
      <c r="G41" s="53"/>
      <c r="H41" s="53"/>
      <c r="I41" s="52"/>
      <c r="J41" s="52"/>
      <c r="K41" s="51"/>
      <c r="L41" s="51"/>
      <c r="M41" s="179"/>
      <c r="N41" s="46"/>
      <c r="O41" s="188"/>
      <c r="P41" s="51"/>
      <c r="Q41" s="52"/>
      <c r="R41" s="52"/>
      <c r="S41" s="53"/>
      <c r="T41" s="53"/>
      <c r="U41" s="52"/>
      <c r="V41" s="52"/>
      <c r="W41" s="51"/>
      <c r="X41" s="51"/>
      <c r="Y41" s="184"/>
      <c r="Z41" s="26"/>
      <c r="AA41" s="26"/>
    </row>
    <row r="42" spans="1:27">
      <c r="B42" s="26"/>
      <c r="C42" s="26"/>
      <c r="D42" s="26"/>
      <c r="E42" s="155"/>
      <c r="F42" s="155"/>
      <c r="G42" s="26"/>
      <c r="H42" s="26"/>
      <c r="I42" s="26"/>
      <c r="J42" s="26"/>
      <c r="K42" s="26"/>
      <c r="L42" s="26"/>
      <c r="M42" s="176"/>
      <c r="N42" s="26"/>
      <c r="O42" s="194"/>
      <c r="P42" s="26"/>
      <c r="Q42" s="26"/>
      <c r="R42" s="26"/>
      <c r="S42" s="26"/>
      <c r="T42" s="26"/>
      <c r="U42" s="26"/>
      <c r="V42" s="26"/>
      <c r="W42" s="26"/>
      <c r="X42" s="26"/>
      <c r="Y42" s="181"/>
      <c r="Z42" s="26"/>
      <c r="AA42" s="26"/>
    </row>
    <row r="43" spans="1:27">
      <c r="B43" s="26"/>
      <c r="C43" s="26"/>
      <c r="D43" s="26"/>
      <c r="E43" s="155"/>
      <c r="F43" s="155"/>
      <c r="G43" s="26"/>
      <c r="H43" s="26"/>
      <c r="I43" s="26"/>
      <c r="J43" s="26"/>
      <c r="K43" s="26"/>
      <c r="L43" s="26"/>
      <c r="M43" s="176"/>
      <c r="N43" s="26"/>
      <c r="O43" s="194"/>
      <c r="P43" s="26"/>
      <c r="Q43" s="26"/>
      <c r="R43" s="26"/>
      <c r="S43" s="26"/>
      <c r="T43" s="26"/>
      <c r="U43" s="26"/>
      <c r="V43" s="26"/>
      <c r="W43" s="26"/>
      <c r="X43" s="26"/>
      <c r="Y43" s="181"/>
      <c r="Z43" s="26"/>
      <c r="AA43" s="26"/>
    </row>
  </sheetData>
  <sheetProtection sheet="1" objects="1" scenarios="1"/>
  <mergeCells count="128">
    <mergeCell ref="D5:L5"/>
    <mergeCell ref="P5:X5"/>
    <mergeCell ref="D7:D10"/>
    <mergeCell ref="E7:F7"/>
    <mergeCell ref="I7:J7"/>
    <mergeCell ref="P7:P10"/>
    <mergeCell ref="Q7:R7"/>
    <mergeCell ref="U7:V7"/>
    <mergeCell ref="E8:F8"/>
    <mergeCell ref="I8:J8"/>
    <mergeCell ref="D12:D15"/>
    <mergeCell ref="E12:F12"/>
    <mergeCell ref="I12:J12"/>
    <mergeCell ref="P12:P15"/>
    <mergeCell ref="Q12:R12"/>
    <mergeCell ref="U12:V12"/>
    <mergeCell ref="Q8:R8"/>
    <mergeCell ref="U8:V8"/>
    <mergeCell ref="E9:F9"/>
    <mergeCell ref="I9:J9"/>
    <mergeCell ref="Q9:R9"/>
    <mergeCell ref="U9:V9"/>
    <mergeCell ref="E13:F13"/>
    <mergeCell ref="I13:J13"/>
    <mergeCell ref="Q13:R13"/>
    <mergeCell ref="U13:V13"/>
    <mergeCell ref="E14:F14"/>
    <mergeCell ref="I14:J14"/>
    <mergeCell ref="Q14:R14"/>
    <mergeCell ref="U14:V14"/>
    <mergeCell ref="E10:F10"/>
    <mergeCell ref="I10:J10"/>
    <mergeCell ref="Q10:R10"/>
    <mergeCell ref="U10:V10"/>
    <mergeCell ref="E18:F18"/>
    <mergeCell ref="I18:J18"/>
    <mergeCell ref="Q18:R18"/>
    <mergeCell ref="U18:V18"/>
    <mergeCell ref="E19:F19"/>
    <mergeCell ref="I19:J19"/>
    <mergeCell ref="Q19:R19"/>
    <mergeCell ref="U19:V19"/>
    <mergeCell ref="E15:F15"/>
    <mergeCell ref="I15:J15"/>
    <mergeCell ref="Q15:R15"/>
    <mergeCell ref="U15:V15"/>
    <mergeCell ref="E17:F17"/>
    <mergeCell ref="I17:J17"/>
    <mergeCell ref="P17:P20"/>
    <mergeCell ref="Q17:R17"/>
    <mergeCell ref="U17:V17"/>
    <mergeCell ref="E20:F20"/>
    <mergeCell ref="I20:J20"/>
    <mergeCell ref="Q20:R20"/>
    <mergeCell ref="U20:V20"/>
    <mergeCell ref="D22:D25"/>
    <mergeCell ref="E22:F22"/>
    <mergeCell ref="I22:J22"/>
    <mergeCell ref="P22:P25"/>
    <mergeCell ref="Q22:R22"/>
    <mergeCell ref="U22:V22"/>
    <mergeCell ref="D17:D20"/>
    <mergeCell ref="D27:D30"/>
    <mergeCell ref="E27:F27"/>
    <mergeCell ref="I27:J27"/>
    <mergeCell ref="P27:P30"/>
    <mergeCell ref="Q27:R27"/>
    <mergeCell ref="U27:V27"/>
    <mergeCell ref="E23:F23"/>
    <mergeCell ref="I23:J23"/>
    <mergeCell ref="Q23:R23"/>
    <mergeCell ref="U23:V23"/>
    <mergeCell ref="E24:F24"/>
    <mergeCell ref="I24:J24"/>
    <mergeCell ref="Q24:R24"/>
    <mergeCell ref="U24:V24"/>
    <mergeCell ref="E28:F28"/>
    <mergeCell ref="I28:J28"/>
    <mergeCell ref="Q28:R28"/>
    <mergeCell ref="U28:V28"/>
    <mergeCell ref="E29:F29"/>
    <mergeCell ref="I29:J29"/>
    <mergeCell ref="Q29:R29"/>
    <mergeCell ref="U29:V29"/>
    <mergeCell ref="E25:F25"/>
    <mergeCell ref="I25:J25"/>
    <mergeCell ref="Q25:R25"/>
    <mergeCell ref="U25:V25"/>
    <mergeCell ref="I34:J34"/>
    <mergeCell ref="Q34:R34"/>
    <mergeCell ref="U34:V34"/>
    <mergeCell ref="E30:F30"/>
    <mergeCell ref="I30:J30"/>
    <mergeCell ref="Q30:R30"/>
    <mergeCell ref="U30:V30"/>
    <mergeCell ref="E32:F32"/>
    <mergeCell ref="I32:J32"/>
    <mergeCell ref="P32:P35"/>
    <mergeCell ref="Q32:R32"/>
    <mergeCell ref="U32:V32"/>
    <mergeCell ref="E35:F35"/>
    <mergeCell ref="I35:J35"/>
    <mergeCell ref="Q35:R35"/>
    <mergeCell ref="U35:V35"/>
    <mergeCell ref="D37:D40"/>
    <mergeCell ref="E37:F37"/>
    <mergeCell ref="I37:J37"/>
    <mergeCell ref="P37:P40"/>
    <mergeCell ref="Q37:R37"/>
    <mergeCell ref="U37:V37"/>
    <mergeCell ref="D32:D35"/>
    <mergeCell ref="E40:F40"/>
    <mergeCell ref="I40:J40"/>
    <mergeCell ref="Q40:R40"/>
    <mergeCell ref="U40:V40"/>
    <mergeCell ref="E38:F38"/>
    <mergeCell ref="I38:J38"/>
    <mergeCell ref="Q38:R38"/>
    <mergeCell ref="U38:V38"/>
    <mergeCell ref="E39:F39"/>
    <mergeCell ref="I39:J39"/>
    <mergeCell ref="Q39:R39"/>
    <mergeCell ref="U39:V39"/>
    <mergeCell ref="E33:F33"/>
    <mergeCell ref="I33:J33"/>
    <mergeCell ref="Q33:R33"/>
    <mergeCell ref="U33:V33"/>
    <mergeCell ref="E34:F3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91129762-AE82-408D-A6D2-84FB6E223CFD}">
            <xm:f>NOT(ISERROR(SEARCH($E$7,A1)))</xm:f>
            <xm:f>$E$7</xm:f>
            <x14:dxf>
              <font>
                <color theme="0"/>
              </font>
            </x14:dxf>
          </x14:cfRule>
          <xm:sqref>A1:XFD6 A8:O11 A7:D7 G7:O7 A13:O16 A12:D12 G12:O12 A18:O21 A17:D17 G17:O17 A23:O26 A22:D22 G22:O22 A28:O31 A27:D27 G27:O27 A33:O36 A32:D32 G32:O32 A41:XFD1048576 A37:D37 G37:O37 A38:O40 Q7:XFD40</xm:sqref>
        </x14:conditionalFormatting>
        <x14:conditionalFormatting xmlns:xm="http://schemas.microsoft.com/office/excel/2006/main">
          <x14:cfRule type="containsText" priority="1" operator="containsText" id="{0F682A9F-B1A0-40C0-93EF-98B3391D213C}">
            <xm:f>NOT(ISERROR(SEARCH($E$7,P7)))</xm:f>
            <xm:f>$E$7</xm:f>
            <x14:dxf>
              <font>
                <color theme="0"/>
              </font>
            </x14:dxf>
          </x14:cfRule>
          <xm:sqref>P7:P40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9"/>
  </sheetPr>
  <dimension ref="A3:AT76"/>
  <sheetViews>
    <sheetView zoomScale="55" zoomScaleNormal="55" workbookViewId="0">
      <selection activeCell="AD42" sqref="AD42"/>
    </sheetView>
  </sheetViews>
  <sheetFormatPr defaultRowHeight="18.75"/>
  <cols>
    <col min="1" max="1" width="9.140625" style="101"/>
    <col min="2" max="16" width="9.140625" style="163"/>
    <col min="21" max="32" width="9.140625" style="163"/>
    <col min="33" max="35" width="9.140625" style="171"/>
    <col min="36" max="16384" width="9.140625" style="163"/>
  </cols>
  <sheetData>
    <row r="3" spans="1:46" ht="18.75" customHeight="1">
      <c r="A3" s="269" t="s">
        <v>206</v>
      </c>
      <c r="B3" s="265" t="str">
        <f>'Финал и доигровки'!G20</f>
        <v>Чекулаев Михаил / Берсенева Елизавета</v>
      </c>
      <c r="C3" s="265"/>
      <c r="D3" s="265"/>
      <c r="E3" s="256">
        <f>AO3</f>
        <v>0</v>
      </c>
      <c r="Q3" s="163"/>
      <c r="R3" s="163"/>
      <c r="S3" s="163"/>
      <c r="T3" s="163"/>
      <c r="AK3" s="265" t="str">
        <f>B3</f>
        <v>Чекулаев Михаил / Берсенева Елизавета</v>
      </c>
      <c r="AL3" s="265"/>
      <c r="AM3" s="265"/>
      <c r="AN3" s="265"/>
      <c r="AO3" s="276"/>
      <c r="AP3" s="276"/>
      <c r="AQ3" s="265" t="str">
        <f>B8</f>
        <v>Карпов Илья / Егорова Анна</v>
      </c>
      <c r="AR3" s="265"/>
      <c r="AS3" s="265"/>
      <c r="AT3" s="265"/>
    </row>
    <row r="4" spans="1:46" ht="18.75" customHeight="1" thickBot="1">
      <c r="A4" s="269"/>
      <c r="B4" s="266"/>
      <c r="C4" s="266"/>
      <c r="D4" s="266"/>
      <c r="E4" s="256"/>
      <c r="Q4" s="163"/>
      <c r="R4" s="163"/>
      <c r="S4" s="163"/>
      <c r="T4" s="163"/>
      <c r="AK4" s="266"/>
      <c r="AL4" s="266"/>
      <c r="AM4" s="266"/>
      <c r="AN4" s="266"/>
      <c r="AO4" s="277"/>
      <c r="AP4" s="277"/>
      <c r="AQ4" s="266"/>
      <c r="AR4" s="266"/>
      <c r="AS4" s="266"/>
      <c r="AT4" s="266"/>
    </row>
    <row r="5" spans="1:46" ht="19.5" thickTop="1">
      <c r="B5" s="164"/>
      <c r="C5" s="164"/>
      <c r="D5" s="165"/>
      <c r="Q5" s="163"/>
      <c r="R5" s="163"/>
      <c r="S5" s="163"/>
      <c r="T5" s="163"/>
    </row>
    <row r="6" spans="1:46">
      <c r="B6" s="166"/>
      <c r="C6" s="166"/>
      <c r="D6" s="167"/>
      <c r="E6" s="252" t="str">
        <f>IF(E3-E8=0," ",IF(E3-E8&gt;0,B3,B8))</f>
        <v xml:space="preserve"> </v>
      </c>
      <c r="F6" s="253"/>
      <c r="G6" s="253"/>
      <c r="H6" s="248">
        <f>AO15</f>
        <v>0</v>
      </c>
      <c r="Q6" s="163"/>
      <c r="R6" s="163"/>
      <c r="S6" s="163"/>
      <c r="T6" s="163"/>
      <c r="AK6" s="265" t="str">
        <f>B13</f>
        <v>Беликов Алексей / Егорова Мария</v>
      </c>
      <c r="AL6" s="265"/>
      <c r="AM6" s="265"/>
      <c r="AN6" s="265"/>
      <c r="AO6" s="276"/>
      <c r="AP6" s="276"/>
      <c r="AQ6" s="265" t="str">
        <f>B18</f>
        <v>Саморуков Юрий / Преснякова Елена</v>
      </c>
      <c r="AR6" s="265"/>
      <c r="AS6" s="265"/>
      <c r="AT6" s="265"/>
    </row>
    <row r="7" spans="1:46" ht="19.5" thickBot="1">
      <c r="B7" s="166"/>
      <c r="C7" s="166"/>
      <c r="D7" s="167"/>
      <c r="E7" s="254"/>
      <c r="F7" s="255"/>
      <c r="G7" s="255"/>
      <c r="H7" s="249"/>
      <c r="Q7" s="163"/>
      <c r="R7" s="163"/>
      <c r="S7" s="163"/>
      <c r="T7" s="163"/>
      <c r="AK7" s="266"/>
      <c r="AL7" s="266"/>
      <c r="AM7" s="266"/>
      <c r="AN7" s="266"/>
      <c r="AO7" s="277"/>
      <c r="AP7" s="277"/>
      <c r="AQ7" s="266"/>
      <c r="AR7" s="266"/>
      <c r="AS7" s="266"/>
      <c r="AT7" s="266"/>
    </row>
    <row r="8" spans="1:46" ht="19.5" customHeight="1" thickTop="1">
      <c r="A8" s="269" t="s">
        <v>207</v>
      </c>
      <c r="B8" s="265" t="str">
        <f>'Финал и доигровки'!G27</f>
        <v>Карпов Илья / Егорова Анна</v>
      </c>
      <c r="C8" s="265"/>
      <c r="D8" s="267"/>
      <c r="E8" s="262">
        <f>AP3</f>
        <v>0</v>
      </c>
      <c r="F8" s="164"/>
      <c r="G8" s="165"/>
      <c r="Q8" s="163"/>
      <c r="R8" s="163"/>
      <c r="S8" s="163"/>
      <c r="T8" s="163"/>
    </row>
    <row r="9" spans="1:46" ht="19.5" customHeight="1" thickBot="1">
      <c r="A9" s="269"/>
      <c r="B9" s="266"/>
      <c r="C9" s="266"/>
      <c r="D9" s="268"/>
      <c r="E9" s="263"/>
      <c r="F9" s="166"/>
      <c r="G9" s="167"/>
      <c r="Q9" s="163"/>
      <c r="R9" s="163"/>
      <c r="S9" s="163"/>
      <c r="T9" s="163"/>
      <c r="AK9" s="265" t="str">
        <f>B23</f>
        <v>Еремеев Евгений / Алексеева Елена</v>
      </c>
      <c r="AL9" s="265"/>
      <c r="AM9" s="265"/>
      <c r="AN9" s="265"/>
      <c r="AO9" s="276"/>
      <c r="AP9" s="276"/>
      <c r="AQ9" s="265" t="str">
        <f>B28</f>
        <v>Дуплякин Юрий / Дуплякина Анна</v>
      </c>
      <c r="AR9" s="265"/>
      <c r="AS9" s="265"/>
      <c r="AT9" s="265"/>
    </row>
    <row r="10" spans="1:46" ht="20.25" thickTop="1" thickBot="1">
      <c r="E10" s="166"/>
      <c r="F10" s="166"/>
      <c r="G10" s="167"/>
      <c r="Q10" s="163"/>
      <c r="R10" s="163"/>
      <c r="S10" s="163"/>
      <c r="T10" s="163"/>
      <c r="AK10" s="266"/>
      <c r="AL10" s="266"/>
      <c r="AM10" s="266"/>
      <c r="AN10" s="266"/>
      <c r="AO10" s="277"/>
      <c r="AP10" s="277"/>
      <c r="AQ10" s="266"/>
      <c r="AR10" s="266"/>
      <c r="AS10" s="266"/>
      <c r="AT10" s="266"/>
    </row>
    <row r="11" spans="1:46" ht="19.5" thickTop="1">
      <c r="E11" s="166"/>
      <c r="F11" s="166"/>
      <c r="G11" s="167"/>
      <c r="H11" s="252" t="str">
        <f>IF(H6-H16=0," ",IF(H6-H16&gt;0,E6,E16))</f>
        <v xml:space="preserve"> </v>
      </c>
      <c r="I11" s="260"/>
      <c r="J11" s="260"/>
      <c r="Q11" s="163"/>
      <c r="R11" s="163"/>
      <c r="S11" s="163"/>
      <c r="T11" s="163"/>
    </row>
    <row r="12" spans="1:46">
      <c r="E12" s="166"/>
      <c r="F12" s="166"/>
      <c r="G12" s="167"/>
      <c r="H12" s="252"/>
      <c r="I12" s="260"/>
      <c r="J12" s="260"/>
      <c r="K12" s="248">
        <f>AO33</f>
        <v>0</v>
      </c>
      <c r="Q12" s="163"/>
      <c r="R12" s="163"/>
      <c r="S12" s="163"/>
      <c r="T12" s="163"/>
      <c r="AK12" s="265" t="str">
        <f>B33</f>
        <v>Фахретдинов Фоат / Фахретдинова Джамиля*</v>
      </c>
      <c r="AL12" s="265"/>
      <c r="AM12" s="265"/>
      <c r="AN12" s="265"/>
      <c r="AO12" s="276"/>
      <c r="AP12" s="276"/>
      <c r="AQ12" s="265" t="str">
        <f>B38</f>
        <v>Галанов Михаил / Егорова Злата</v>
      </c>
      <c r="AR12" s="265"/>
      <c r="AS12" s="265"/>
      <c r="AT12" s="265"/>
    </row>
    <row r="13" spans="1:46" ht="19.5" customHeight="1" thickBot="1">
      <c r="A13" s="269" t="s">
        <v>208</v>
      </c>
      <c r="B13" s="265" t="str">
        <f>'Финал и доигровки'!G25</f>
        <v>Беликов Алексей / Егорова Мария</v>
      </c>
      <c r="C13" s="265"/>
      <c r="D13" s="265"/>
      <c r="E13" s="261">
        <f>AO6</f>
        <v>0</v>
      </c>
      <c r="F13" s="166"/>
      <c r="G13" s="167"/>
      <c r="H13" s="252"/>
      <c r="I13" s="260"/>
      <c r="J13" s="260"/>
      <c r="K13" s="249"/>
      <c r="Q13" s="163"/>
      <c r="R13" s="163"/>
      <c r="S13" s="163"/>
      <c r="T13" s="163"/>
      <c r="AK13" s="266"/>
      <c r="AL13" s="266"/>
      <c r="AM13" s="266"/>
      <c r="AN13" s="266"/>
      <c r="AO13" s="277"/>
      <c r="AP13" s="277"/>
      <c r="AQ13" s="266"/>
      <c r="AR13" s="266"/>
      <c r="AS13" s="266"/>
      <c r="AT13" s="266"/>
    </row>
    <row r="14" spans="1:46" ht="20.25" customHeight="1" thickTop="1" thickBot="1">
      <c r="A14" s="269"/>
      <c r="B14" s="266"/>
      <c r="C14" s="266"/>
      <c r="D14" s="266"/>
      <c r="E14" s="261"/>
      <c r="F14" s="166"/>
      <c r="G14" s="167"/>
      <c r="H14" s="164"/>
      <c r="I14" s="164"/>
      <c r="J14" s="165"/>
      <c r="Q14" s="163"/>
      <c r="R14" s="163"/>
      <c r="S14" s="163"/>
      <c r="T14" s="163"/>
    </row>
    <row r="15" spans="1:46" ht="19.5" thickTop="1">
      <c r="B15" s="164"/>
      <c r="C15" s="164"/>
      <c r="D15" s="165"/>
      <c r="E15" s="166"/>
      <c r="F15" s="166"/>
      <c r="G15" s="167"/>
      <c r="H15" s="166"/>
      <c r="I15" s="166"/>
      <c r="J15" s="167"/>
      <c r="Q15" s="163"/>
      <c r="R15" s="163"/>
      <c r="S15" s="163"/>
      <c r="T15" s="163"/>
      <c r="AK15" s="265" t="str">
        <f>E6</f>
        <v xml:space="preserve"> </v>
      </c>
      <c r="AL15" s="265"/>
      <c r="AM15" s="265"/>
      <c r="AN15" s="265"/>
      <c r="AO15" s="276"/>
      <c r="AP15" s="276"/>
      <c r="AQ15" s="265" t="str">
        <f>E16</f>
        <v xml:space="preserve"> </v>
      </c>
      <c r="AR15" s="265"/>
      <c r="AS15" s="265"/>
      <c r="AT15" s="265"/>
    </row>
    <row r="16" spans="1:46" ht="19.5" thickBot="1">
      <c r="B16" s="166"/>
      <c r="C16" s="166"/>
      <c r="D16" s="167"/>
      <c r="E16" s="252" t="str">
        <f>IF(E13-E18=0," ",IF(E13-E18&gt;0,B13,B18))</f>
        <v xml:space="preserve"> </v>
      </c>
      <c r="F16" s="253"/>
      <c r="G16" s="253"/>
      <c r="H16" s="250">
        <f>AP15</f>
        <v>0</v>
      </c>
      <c r="I16" s="166"/>
      <c r="J16" s="167"/>
      <c r="Q16" s="163"/>
      <c r="R16" s="163"/>
      <c r="S16" s="163"/>
      <c r="T16" s="163"/>
      <c r="AK16" s="266"/>
      <c r="AL16" s="266"/>
      <c r="AM16" s="266"/>
      <c r="AN16" s="266"/>
      <c r="AO16" s="277"/>
      <c r="AP16" s="277"/>
      <c r="AQ16" s="266"/>
      <c r="AR16" s="266"/>
      <c r="AS16" s="266"/>
      <c r="AT16" s="266"/>
    </row>
    <row r="17" spans="1:46" ht="20.25" thickTop="1" thickBot="1">
      <c r="B17" s="166"/>
      <c r="C17" s="166"/>
      <c r="D17" s="167"/>
      <c r="E17" s="254"/>
      <c r="F17" s="255"/>
      <c r="G17" s="255"/>
      <c r="H17" s="251"/>
      <c r="I17" s="166"/>
      <c r="J17" s="167"/>
      <c r="Q17" s="163"/>
      <c r="R17" s="163"/>
      <c r="S17" s="163"/>
      <c r="T17" s="163"/>
    </row>
    <row r="18" spans="1:46" ht="19.5" customHeight="1" thickTop="1">
      <c r="A18" s="269" t="s">
        <v>209</v>
      </c>
      <c r="B18" s="265" t="str">
        <f>'Финал и доигровки'!G22</f>
        <v>Саморуков Юрий / Преснякова Елена</v>
      </c>
      <c r="C18" s="265"/>
      <c r="D18" s="267"/>
      <c r="E18" s="262">
        <f>AP6</f>
        <v>0</v>
      </c>
      <c r="H18" s="166"/>
      <c r="I18" s="166"/>
      <c r="J18" s="167"/>
      <c r="Q18" s="163"/>
      <c r="R18" s="163"/>
      <c r="S18" s="163"/>
      <c r="T18" s="163"/>
      <c r="AK18" s="265" t="str">
        <f>E26</f>
        <v xml:space="preserve"> </v>
      </c>
      <c r="AL18" s="265"/>
      <c r="AM18" s="265"/>
      <c r="AN18" s="265"/>
      <c r="AO18" s="276"/>
      <c r="AP18" s="276"/>
      <c r="AQ18" s="265" t="str">
        <f>E36</f>
        <v xml:space="preserve"> </v>
      </c>
      <c r="AR18" s="265"/>
      <c r="AS18" s="265"/>
      <c r="AT18" s="265"/>
    </row>
    <row r="19" spans="1:46" ht="19.5" customHeight="1" thickBot="1">
      <c r="A19" s="269"/>
      <c r="B19" s="266"/>
      <c r="C19" s="266"/>
      <c r="D19" s="268"/>
      <c r="E19" s="263"/>
      <c r="H19" s="166"/>
      <c r="I19" s="166"/>
      <c r="J19" s="167"/>
      <c r="Q19" s="163"/>
      <c r="R19" s="163"/>
      <c r="S19" s="163"/>
      <c r="T19" s="163"/>
      <c r="AK19" s="266"/>
      <c r="AL19" s="266"/>
      <c r="AM19" s="266"/>
      <c r="AN19" s="266"/>
      <c r="AO19" s="277"/>
      <c r="AP19" s="277"/>
      <c r="AQ19" s="266"/>
      <c r="AR19" s="266"/>
      <c r="AS19" s="266"/>
      <c r="AT19" s="266"/>
    </row>
    <row r="20" spans="1:46" ht="19.5" thickTop="1">
      <c r="H20" s="166"/>
      <c r="I20" s="166"/>
      <c r="J20" s="167"/>
      <c r="Q20" s="163"/>
      <c r="R20" s="163"/>
      <c r="S20" s="163"/>
      <c r="T20" s="163"/>
    </row>
    <row r="21" spans="1:46">
      <c r="H21" s="166"/>
      <c r="I21" s="166"/>
      <c r="J21" s="167"/>
      <c r="K21" s="252" t="str">
        <f>IF(K12-K32=0," ",IF(K12-K32&gt;0,H11,H31))</f>
        <v xml:space="preserve"> </v>
      </c>
      <c r="L21" s="253"/>
      <c r="M21" s="253"/>
      <c r="Q21" s="163"/>
      <c r="R21" s="163"/>
      <c r="S21" s="163"/>
      <c r="T21" s="163"/>
      <c r="AK21" s="265" t="str">
        <f>D42</f>
        <v xml:space="preserve"> </v>
      </c>
      <c r="AL21" s="265"/>
      <c r="AM21" s="265"/>
      <c r="AN21" s="265"/>
      <c r="AO21" s="276"/>
      <c r="AP21" s="276"/>
      <c r="AQ21" s="265" t="str">
        <f>D47</f>
        <v xml:space="preserve"> </v>
      </c>
      <c r="AR21" s="265"/>
      <c r="AS21" s="265"/>
      <c r="AT21" s="265"/>
    </row>
    <row r="22" spans="1:46" ht="19.5" thickBot="1">
      <c r="H22" s="166"/>
      <c r="I22" s="166"/>
      <c r="J22" s="167"/>
      <c r="K22" s="252"/>
      <c r="L22" s="253"/>
      <c r="M22" s="253"/>
      <c r="N22" s="248">
        <f>AO42</f>
        <v>0</v>
      </c>
      <c r="O22" s="272">
        <f>AO45</f>
        <v>0</v>
      </c>
      <c r="Q22" s="163"/>
      <c r="R22" s="163"/>
      <c r="S22" s="163"/>
      <c r="T22" s="163"/>
      <c r="AK22" s="266"/>
      <c r="AL22" s="266"/>
      <c r="AM22" s="266"/>
      <c r="AN22" s="266"/>
      <c r="AO22" s="277"/>
      <c r="AP22" s="277"/>
      <c r="AQ22" s="266"/>
      <c r="AR22" s="266"/>
      <c r="AS22" s="266"/>
      <c r="AT22" s="266"/>
    </row>
    <row r="23" spans="1:46" ht="19.5" customHeight="1" thickTop="1" thickBot="1">
      <c r="A23" s="269" t="s">
        <v>210</v>
      </c>
      <c r="B23" s="265" t="str">
        <f>'Финал и доигровки'!G24</f>
        <v>Еремеев Евгений / Алексеева Елена</v>
      </c>
      <c r="C23" s="265"/>
      <c r="D23" s="265"/>
      <c r="E23" s="256">
        <f>AO9</f>
        <v>0</v>
      </c>
      <c r="H23" s="166"/>
      <c r="I23" s="166"/>
      <c r="J23" s="167"/>
      <c r="K23" s="254"/>
      <c r="L23" s="255"/>
      <c r="M23" s="255"/>
      <c r="N23" s="275"/>
      <c r="O23" s="273"/>
      <c r="Q23" s="163"/>
      <c r="R23" s="163"/>
      <c r="S23" s="163"/>
      <c r="T23" s="163"/>
    </row>
    <row r="24" spans="1:46" ht="20.25" customHeight="1" thickTop="1" thickBot="1">
      <c r="A24" s="269"/>
      <c r="B24" s="266"/>
      <c r="C24" s="266"/>
      <c r="D24" s="266"/>
      <c r="E24" s="256"/>
      <c r="H24" s="166"/>
      <c r="I24" s="166"/>
      <c r="J24" s="167"/>
      <c r="N24" s="164"/>
      <c r="O24" s="164"/>
      <c r="P24" s="164"/>
      <c r="Q24" s="164"/>
      <c r="R24" s="164"/>
      <c r="S24" s="165"/>
      <c r="T24" s="163"/>
      <c r="AK24" s="265" t="str">
        <f>D52</f>
        <v xml:space="preserve"> </v>
      </c>
      <c r="AL24" s="265"/>
      <c r="AM24" s="265"/>
      <c r="AN24" s="265"/>
      <c r="AO24" s="276"/>
      <c r="AP24" s="276"/>
      <c r="AQ24" s="265" t="str">
        <f>D57</f>
        <v xml:space="preserve"> </v>
      </c>
      <c r="AR24" s="265"/>
      <c r="AS24" s="265"/>
      <c r="AT24" s="265"/>
    </row>
    <row r="25" spans="1:46" ht="20.25" thickTop="1" thickBot="1">
      <c r="B25" s="164"/>
      <c r="C25" s="164"/>
      <c r="D25" s="165"/>
      <c r="H25" s="166"/>
      <c r="I25" s="166"/>
      <c r="J25" s="167"/>
      <c r="N25" s="166"/>
      <c r="O25" s="166"/>
      <c r="P25" s="166"/>
      <c r="Q25" s="166"/>
      <c r="R25" s="166"/>
      <c r="S25" s="167"/>
      <c r="T25" s="163"/>
      <c r="AK25" s="266"/>
      <c r="AL25" s="266"/>
      <c r="AM25" s="266"/>
      <c r="AN25" s="266"/>
      <c r="AO25" s="277"/>
      <c r="AP25" s="277"/>
      <c r="AQ25" s="266"/>
      <c r="AR25" s="266"/>
      <c r="AS25" s="266"/>
      <c r="AT25" s="266"/>
    </row>
    <row r="26" spans="1:46" ht="19.5" thickTop="1">
      <c r="B26" s="166"/>
      <c r="C26" s="166"/>
      <c r="D26" s="167"/>
      <c r="E26" s="252" t="str">
        <f>IF(E23-E28=0," ",IF(E23-E28&gt;0,B23,B28))</f>
        <v xml:space="preserve"> </v>
      </c>
      <c r="F26" s="253"/>
      <c r="G26" s="253"/>
      <c r="H26" s="248">
        <f>AO18</f>
        <v>0</v>
      </c>
      <c r="I26" s="166"/>
      <c r="J26" s="167"/>
      <c r="N26" s="166"/>
      <c r="O26" s="166"/>
      <c r="P26" s="166"/>
      <c r="Q26" s="166"/>
      <c r="R26" s="166"/>
      <c r="S26" s="167"/>
      <c r="T26" s="163"/>
    </row>
    <row r="27" spans="1:46" ht="19.5" thickBot="1">
      <c r="B27" s="166"/>
      <c r="C27" s="166"/>
      <c r="D27" s="167"/>
      <c r="E27" s="254"/>
      <c r="F27" s="255"/>
      <c r="G27" s="255"/>
      <c r="H27" s="249"/>
      <c r="I27" s="166"/>
      <c r="J27" s="167"/>
      <c r="N27" s="166"/>
      <c r="O27" s="166"/>
      <c r="P27" s="166"/>
      <c r="Q27" s="166"/>
      <c r="R27" s="166"/>
      <c r="S27" s="167"/>
      <c r="T27" s="163"/>
      <c r="AK27" s="265" t="str">
        <f>G40</f>
        <v xml:space="preserve"> </v>
      </c>
      <c r="AL27" s="265"/>
      <c r="AM27" s="265"/>
      <c r="AN27" s="265"/>
      <c r="AO27" s="276"/>
      <c r="AP27" s="276"/>
      <c r="AQ27" s="265" t="str">
        <f>G45</f>
        <v xml:space="preserve"> </v>
      </c>
      <c r="AR27" s="265"/>
      <c r="AS27" s="265"/>
      <c r="AT27" s="265"/>
    </row>
    <row r="28" spans="1:46" ht="19.5" customHeight="1" thickTop="1" thickBot="1">
      <c r="A28" s="269" t="s">
        <v>211</v>
      </c>
      <c r="B28" s="265" t="str">
        <f>'Финал и доигровки'!G23</f>
        <v>Дуплякин Юрий / Дуплякина Анна</v>
      </c>
      <c r="C28" s="265"/>
      <c r="D28" s="267"/>
      <c r="E28" s="262">
        <f>AP9</f>
        <v>0</v>
      </c>
      <c r="F28" s="164"/>
      <c r="G28" s="165"/>
      <c r="H28" s="166"/>
      <c r="I28" s="166"/>
      <c r="J28" s="167"/>
      <c r="N28" s="166"/>
      <c r="O28" s="166"/>
      <c r="P28" s="166"/>
      <c r="Q28" s="166"/>
      <c r="R28" s="166"/>
      <c r="S28" s="167"/>
      <c r="T28" s="163"/>
      <c r="AK28" s="266"/>
      <c r="AL28" s="266"/>
      <c r="AM28" s="266"/>
      <c r="AN28" s="266"/>
      <c r="AO28" s="277"/>
      <c r="AP28" s="277"/>
      <c r="AQ28" s="266"/>
      <c r="AR28" s="266"/>
      <c r="AS28" s="266"/>
      <c r="AT28" s="266"/>
    </row>
    <row r="29" spans="1:46" ht="19.5" customHeight="1" thickTop="1" thickBot="1">
      <c r="A29" s="269"/>
      <c r="B29" s="266"/>
      <c r="C29" s="266"/>
      <c r="D29" s="268"/>
      <c r="E29" s="263"/>
      <c r="F29" s="166"/>
      <c r="G29" s="167"/>
      <c r="H29" s="166"/>
      <c r="I29" s="166"/>
      <c r="J29" s="167"/>
      <c r="N29" s="166"/>
      <c r="O29" s="166"/>
      <c r="P29" s="166"/>
      <c r="Q29" s="166"/>
      <c r="R29" s="166"/>
      <c r="S29" s="167"/>
      <c r="T29" s="163"/>
    </row>
    <row r="30" spans="1:46" ht="19.5" thickTop="1">
      <c r="E30" s="166"/>
      <c r="F30" s="166"/>
      <c r="G30" s="167"/>
      <c r="H30" s="166"/>
      <c r="I30" s="166"/>
      <c r="J30" s="167"/>
      <c r="N30" s="166"/>
      <c r="O30" s="166"/>
      <c r="P30" s="166"/>
      <c r="Q30" s="166"/>
      <c r="R30" s="166"/>
      <c r="S30" s="167"/>
      <c r="T30" s="163"/>
      <c r="AK30" s="265" t="str">
        <f>G50</f>
        <v xml:space="preserve"> </v>
      </c>
      <c r="AL30" s="265"/>
      <c r="AM30" s="265"/>
      <c r="AN30" s="265"/>
      <c r="AO30" s="276"/>
      <c r="AP30" s="276"/>
      <c r="AQ30" s="265" t="str">
        <f>G55</f>
        <v xml:space="preserve"> </v>
      </c>
      <c r="AR30" s="265"/>
      <c r="AS30" s="265"/>
      <c r="AT30" s="265"/>
    </row>
    <row r="31" spans="1:46" ht="19.5" thickBot="1">
      <c r="E31" s="166"/>
      <c r="F31" s="166"/>
      <c r="G31" s="167"/>
      <c r="H31" s="252" t="str">
        <f>IF(H26-H36=0," ",IF(H26-H36&gt;0,E26,E36))</f>
        <v xml:space="preserve"> </v>
      </c>
      <c r="I31" s="253"/>
      <c r="J31" s="264"/>
      <c r="N31" s="166"/>
      <c r="O31" s="166"/>
      <c r="P31" s="166"/>
      <c r="Q31" s="166"/>
      <c r="R31" s="166"/>
      <c r="S31" s="167"/>
      <c r="T31" s="265" t="str">
        <f>IF(O22-U45=0," ",IF(O22-U45&gt;0,K21,Q45))</f>
        <v xml:space="preserve"> </v>
      </c>
      <c r="U31" s="265"/>
      <c r="V31" s="265"/>
      <c r="W31" s="265"/>
      <c r="AK31" s="266"/>
      <c r="AL31" s="266"/>
      <c r="AM31" s="266"/>
      <c r="AN31" s="266"/>
      <c r="AO31" s="277"/>
      <c r="AP31" s="277"/>
      <c r="AQ31" s="266"/>
      <c r="AR31" s="266"/>
      <c r="AS31" s="266"/>
      <c r="AT31" s="266"/>
    </row>
    <row r="32" spans="1:46" ht="20.25" thickTop="1" thickBot="1">
      <c r="E32" s="166"/>
      <c r="F32" s="166"/>
      <c r="G32" s="167"/>
      <c r="H32" s="252"/>
      <c r="I32" s="253"/>
      <c r="J32" s="253"/>
      <c r="K32" s="250">
        <f>AP33</f>
        <v>0</v>
      </c>
      <c r="N32" s="166"/>
      <c r="O32" s="166"/>
      <c r="P32" s="166"/>
      <c r="Q32" s="166"/>
      <c r="R32" s="166"/>
      <c r="S32" s="167"/>
      <c r="T32" s="266"/>
      <c r="U32" s="266"/>
      <c r="V32" s="266"/>
      <c r="W32" s="266"/>
    </row>
    <row r="33" spans="1:46" ht="19.5" customHeight="1" thickTop="1" thickBot="1">
      <c r="A33" s="269" t="s">
        <v>212</v>
      </c>
      <c r="B33" s="265" t="str">
        <f>'Финал и доигровки'!G21</f>
        <v>Фахретдинов Фоат / Фахретдинова Джамиля*</v>
      </c>
      <c r="C33" s="265"/>
      <c r="D33" s="265"/>
      <c r="E33" s="261">
        <f>AO12</f>
        <v>0</v>
      </c>
      <c r="F33" s="166"/>
      <c r="G33" s="167"/>
      <c r="H33" s="254"/>
      <c r="I33" s="255"/>
      <c r="J33" s="255"/>
      <c r="K33" s="251"/>
      <c r="N33" s="166"/>
      <c r="O33" s="166"/>
      <c r="P33" s="166"/>
      <c r="Q33" s="166"/>
      <c r="R33" s="166"/>
      <c r="S33" s="167"/>
      <c r="T33" s="163"/>
      <c r="AG33" s="284"/>
      <c r="AH33" s="284"/>
      <c r="AI33" s="284"/>
      <c r="AK33" s="265" t="str">
        <f>H11</f>
        <v xml:space="preserve"> </v>
      </c>
      <c r="AL33" s="265"/>
      <c r="AM33" s="265"/>
      <c r="AN33" s="265"/>
      <c r="AO33" s="276"/>
      <c r="AP33" s="276"/>
      <c r="AQ33" s="265" t="str">
        <f>H31</f>
        <v xml:space="preserve"> </v>
      </c>
      <c r="AR33" s="265"/>
      <c r="AS33" s="265"/>
      <c r="AT33" s="265"/>
    </row>
    <row r="34" spans="1:46" ht="40.5" customHeight="1" thickTop="1" thickBot="1">
      <c r="A34" s="269"/>
      <c r="B34" s="266"/>
      <c r="C34" s="266"/>
      <c r="D34" s="266"/>
      <c r="E34" s="261"/>
      <c r="F34" s="166"/>
      <c r="G34" s="167"/>
      <c r="N34" s="166"/>
      <c r="O34" s="166"/>
      <c r="P34" s="166"/>
      <c r="Q34" s="166"/>
      <c r="R34" s="166"/>
      <c r="S34" s="167"/>
      <c r="T34" s="163"/>
      <c r="X34" s="162"/>
      <c r="Y34" s="162"/>
      <c r="Z34" s="162"/>
      <c r="AE34" s="162"/>
      <c r="AF34" s="162"/>
      <c r="AG34" s="284"/>
      <c r="AH34" s="284"/>
      <c r="AI34" s="284"/>
      <c r="AK34" s="266"/>
      <c r="AL34" s="266"/>
      <c r="AM34" s="266"/>
      <c r="AN34" s="266"/>
      <c r="AO34" s="277"/>
      <c r="AP34" s="277"/>
      <c r="AQ34" s="266"/>
      <c r="AR34" s="266"/>
      <c r="AS34" s="266"/>
      <c r="AT34" s="266"/>
    </row>
    <row r="35" spans="1:46" ht="19.5" thickTop="1">
      <c r="B35" s="164"/>
      <c r="C35" s="164"/>
      <c r="D35" s="165"/>
      <c r="E35" s="166"/>
      <c r="F35" s="166"/>
      <c r="G35" s="167"/>
      <c r="N35" s="166"/>
      <c r="O35" s="166"/>
      <c r="P35" s="166"/>
      <c r="Q35" s="166"/>
      <c r="R35" s="166"/>
      <c r="S35" s="167"/>
      <c r="T35" s="163"/>
      <c r="X35" s="162"/>
      <c r="Y35" s="162"/>
      <c r="Z35" s="162"/>
      <c r="AE35" s="162"/>
      <c r="AF35" s="162"/>
    </row>
    <row r="36" spans="1:46">
      <c r="B36" s="166"/>
      <c r="C36" s="166"/>
      <c r="D36" s="167"/>
      <c r="E36" s="252" t="str">
        <f>IF(E33-E38=0," ",IF(E33-E38&gt;0,B33,B38))</f>
        <v xml:space="preserve"> </v>
      </c>
      <c r="F36" s="253"/>
      <c r="G36" s="253"/>
      <c r="H36" s="250">
        <f>AP18</f>
        <v>0</v>
      </c>
      <c r="N36" s="166"/>
      <c r="O36" s="166"/>
      <c r="P36" s="166"/>
      <c r="Q36" s="166"/>
      <c r="R36" s="166"/>
      <c r="S36" s="167"/>
      <c r="T36" s="163"/>
      <c r="AG36" s="284" t="s">
        <v>221</v>
      </c>
      <c r="AH36" s="284"/>
      <c r="AI36" s="284"/>
      <c r="AK36" s="265" t="str">
        <f>J43</f>
        <v xml:space="preserve"> </v>
      </c>
      <c r="AL36" s="265"/>
      <c r="AM36" s="265"/>
      <c r="AN36" s="265"/>
      <c r="AO36" s="276"/>
      <c r="AP36" s="276"/>
      <c r="AQ36" s="265" t="str">
        <f>J53</f>
        <v xml:space="preserve"> </v>
      </c>
      <c r="AR36" s="265"/>
      <c r="AS36" s="265"/>
      <c r="AT36" s="265"/>
    </row>
    <row r="37" spans="1:46" ht="19.5" thickBot="1">
      <c r="B37" s="166"/>
      <c r="C37" s="166"/>
      <c r="D37" s="167"/>
      <c r="E37" s="254"/>
      <c r="F37" s="255"/>
      <c r="G37" s="255"/>
      <c r="H37" s="251"/>
      <c r="N37" s="166"/>
      <c r="O37" s="166"/>
      <c r="P37" s="166"/>
      <c r="Q37" s="166"/>
      <c r="R37" s="166"/>
      <c r="S37" s="167"/>
      <c r="T37" s="163"/>
      <c r="AG37" s="284"/>
      <c r="AH37" s="284"/>
      <c r="AI37" s="284"/>
      <c r="AK37" s="266"/>
      <c r="AL37" s="266"/>
      <c r="AM37" s="266"/>
      <c r="AN37" s="266"/>
      <c r="AO37" s="277"/>
      <c r="AP37" s="277"/>
      <c r="AQ37" s="266"/>
      <c r="AR37" s="266"/>
      <c r="AS37" s="266"/>
      <c r="AT37" s="266"/>
    </row>
    <row r="38" spans="1:46" ht="19.5" customHeight="1" thickTop="1">
      <c r="A38" s="269" t="s">
        <v>213</v>
      </c>
      <c r="B38" s="265" t="str">
        <f>'Финал и доигровки'!G26</f>
        <v>Галанов Михаил / Егорова Злата</v>
      </c>
      <c r="C38" s="265"/>
      <c r="D38" s="267"/>
      <c r="E38" s="262">
        <f>AP12</f>
        <v>0</v>
      </c>
      <c r="N38" s="166"/>
      <c r="O38" s="166"/>
      <c r="P38" s="166"/>
      <c r="Q38" s="166"/>
      <c r="R38" s="166"/>
      <c r="S38" s="167"/>
      <c r="T38" s="163"/>
    </row>
    <row r="39" spans="1:46" ht="19.5" customHeight="1" thickBot="1">
      <c r="A39" s="269"/>
      <c r="B39" s="266"/>
      <c r="C39" s="266"/>
      <c r="D39" s="268"/>
      <c r="E39" s="263"/>
      <c r="N39" s="166"/>
      <c r="O39" s="166"/>
      <c r="P39" s="166"/>
      <c r="Q39" s="166"/>
      <c r="R39" s="166"/>
      <c r="S39" s="167"/>
      <c r="T39" s="163"/>
      <c r="AG39" s="284" t="s">
        <v>215</v>
      </c>
      <c r="AH39" s="284"/>
      <c r="AI39" s="284"/>
      <c r="AK39" s="265" t="str">
        <f>N41</f>
        <v xml:space="preserve"> </v>
      </c>
      <c r="AL39" s="265"/>
      <c r="AM39" s="265"/>
      <c r="AN39" s="265"/>
      <c r="AO39" s="276"/>
      <c r="AP39" s="276"/>
      <c r="AQ39" s="265" t="str">
        <f>N48</f>
        <v xml:space="preserve"> </v>
      </c>
      <c r="AR39" s="265"/>
      <c r="AS39" s="265"/>
      <c r="AT39" s="265"/>
    </row>
    <row r="40" spans="1:46" ht="20.25" thickTop="1" thickBot="1">
      <c r="G40" s="253" t="str">
        <f>IF(H6-H16=0," ",IF(H6-H16&lt;0,E6,E16))</f>
        <v xml:space="preserve"> </v>
      </c>
      <c r="H40" s="253"/>
      <c r="I40" s="253"/>
      <c r="J40" s="256">
        <f>AO27</f>
        <v>0</v>
      </c>
      <c r="N40" s="166"/>
      <c r="O40" s="166"/>
      <c r="P40" s="166"/>
      <c r="Q40" s="166"/>
      <c r="R40" s="166"/>
      <c r="S40" s="167"/>
      <c r="T40" s="163"/>
      <c r="AG40" s="284"/>
      <c r="AH40" s="284"/>
      <c r="AI40" s="284"/>
      <c r="AK40" s="266"/>
      <c r="AL40" s="266"/>
      <c r="AM40" s="266"/>
      <c r="AN40" s="266"/>
      <c r="AO40" s="277"/>
      <c r="AP40" s="277"/>
      <c r="AQ40" s="266"/>
      <c r="AR40" s="266"/>
      <c r="AS40" s="266"/>
      <c r="AT40" s="266"/>
    </row>
    <row r="41" spans="1:46" ht="20.25" thickTop="1" thickBot="1">
      <c r="G41" s="255"/>
      <c r="H41" s="255"/>
      <c r="I41" s="255"/>
      <c r="J41" s="256"/>
      <c r="N41" s="253" t="str">
        <f t="shared" ref="N41" si="0">IF(K12-K32=0," ",IF(K12-K32&lt;0,H11,H31))</f>
        <v xml:space="preserve"> </v>
      </c>
      <c r="O41" s="253"/>
      <c r="P41" s="253"/>
      <c r="Q41" s="261">
        <f>AO39</f>
        <v>0</v>
      </c>
      <c r="R41" s="159"/>
      <c r="S41" s="160"/>
      <c r="T41" s="163"/>
    </row>
    <row r="42" spans="1:46" ht="18.75" customHeight="1" thickTop="1" thickBot="1">
      <c r="C42" s="101"/>
      <c r="D42" s="265" t="str">
        <f>IF(E3-E8=0," ",IF(E3-E8&lt;0,B3,B8))</f>
        <v xml:space="preserve"> </v>
      </c>
      <c r="E42" s="265"/>
      <c r="F42" s="265"/>
      <c r="G42" s="271">
        <f>AO21</f>
        <v>0</v>
      </c>
      <c r="H42" s="164"/>
      <c r="I42" s="165"/>
      <c r="N42" s="255"/>
      <c r="O42" s="255"/>
      <c r="P42" s="255"/>
      <c r="Q42" s="261"/>
      <c r="R42" s="166"/>
      <c r="S42" s="167"/>
      <c r="T42" s="163"/>
      <c r="AG42" s="284" t="s">
        <v>214</v>
      </c>
      <c r="AH42" s="284"/>
      <c r="AI42" s="284"/>
      <c r="AK42" s="265" t="str">
        <f>K21</f>
        <v xml:space="preserve"> </v>
      </c>
      <c r="AL42" s="265"/>
      <c r="AM42" s="265"/>
      <c r="AN42" s="265"/>
      <c r="AO42" s="276"/>
      <c r="AP42" s="276"/>
      <c r="AQ42" s="265" t="str">
        <f>Q45</f>
        <v xml:space="preserve"> </v>
      </c>
      <c r="AR42" s="265"/>
      <c r="AS42" s="265"/>
      <c r="AT42" s="265"/>
    </row>
    <row r="43" spans="1:46" ht="20.25" thickTop="1" thickBot="1">
      <c r="C43" s="101"/>
      <c r="D43" s="266"/>
      <c r="E43" s="266"/>
      <c r="F43" s="266"/>
      <c r="G43" s="261"/>
      <c r="H43" s="166"/>
      <c r="I43" s="167"/>
      <c r="J43" s="252" t="str">
        <f>IF(J40-J45=0," ",IF(J40-J45&gt;0,G40,G45))</f>
        <v xml:space="preserve"> </v>
      </c>
      <c r="K43" s="253"/>
      <c r="L43" s="253"/>
      <c r="M43" s="253"/>
      <c r="N43" s="271">
        <f>AO36</f>
        <v>0</v>
      </c>
      <c r="O43" s="164"/>
      <c r="P43" s="165"/>
      <c r="Q43" s="166"/>
      <c r="R43" s="166"/>
      <c r="S43" s="167"/>
      <c r="T43" s="163"/>
      <c r="AG43" s="284"/>
      <c r="AH43" s="284"/>
      <c r="AI43" s="284"/>
      <c r="AK43" s="266"/>
      <c r="AL43" s="266"/>
      <c r="AM43" s="266"/>
      <c r="AN43" s="266"/>
      <c r="AO43" s="277"/>
      <c r="AP43" s="277"/>
      <c r="AQ43" s="266"/>
      <c r="AR43" s="266"/>
      <c r="AS43" s="266"/>
      <c r="AT43" s="266"/>
    </row>
    <row r="44" spans="1:46" ht="20.25" thickTop="1" thickBot="1">
      <c r="D44" s="164"/>
      <c r="E44" s="164"/>
      <c r="F44" s="165"/>
      <c r="G44" s="166"/>
      <c r="H44" s="166"/>
      <c r="I44" s="167"/>
      <c r="J44" s="254"/>
      <c r="K44" s="255"/>
      <c r="L44" s="255"/>
      <c r="M44" s="255"/>
      <c r="N44" s="261"/>
      <c r="O44" s="166"/>
      <c r="P44" s="167"/>
      <c r="Q44" s="166"/>
      <c r="R44" s="166"/>
      <c r="S44" s="167"/>
      <c r="T44" s="163"/>
    </row>
    <row r="45" spans="1:46" ht="19.5" thickTop="1">
      <c r="D45" s="166"/>
      <c r="E45" s="166"/>
      <c r="F45" s="167"/>
      <c r="G45" s="252" t="str">
        <f>IF(G42-G47=0," ",IF(G42-G47&gt;0,D42,D47))</f>
        <v xml:space="preserve"> </v>
      </c>
      <c r="H45" s="253"/>
      <c r="I45" s="264"/>
      <c r="J45" s="259">
        <f>AP27</f>
        <v>0</v>
      </c>
      <c r="K45" s="164"/>
      <c r="L45" s="164"/>
      <c r="M45" s="165"/>
      <c r="N45" s="166"/>
      <c r="O45" s="166"/>
      <c r="P45" s="167"/>
      <c r="Q45" s="253" t="str">
        <f>IF(Q41-Q48=0," ",IF(Q41-Q48&gt;0,N41,N48))</f>
        <v xml:space="preserve"> </v>
      </c>
      <c r="R45" s="253"/>
      <c r="S45" s="264"/>
      <c r="T45" s="256">
        <f>AP42</f>
        <v>0</v>
      </c>
      <c r="U45" s="274">
        <f>AP45</f>
        <v>0</v>
      </c>
      <c r="AG45" s="284" t="s">
        <v>214</v>
      </c>
      <c r="AH45" s="284"/>
      <c r="AI45" s="284"/>
      <c r="AK45" s="253" t="str">
        <f>K21</f>
        <v xml:space="preserve"> </v>
      </c>
      <c r="AL45" s="253"/>
      <c r="AM45" s="253"/>
      <c r="AN45" s="253"/>
      <c r="AO45" s="280"/>
      <c r="AP45" s="280"/>
      <c r="AQ45" s="253" t="str">
        <f>Q45</f>
        <v xml:space="preserve"> </v>
      </c>
      <c r="AR45" s="253"/>
      <c r="AS45" s="253"/>
      <c r="AT45" s="253"/>
    </row>
    <row r="46" spans="1:46" ht="19.5" thickBot="1">
      <c r="D46" s="166"/>
      <c r="E46" s="166"/>
      <c r="F46" s="167"/>
      <c r="G46" s="254"/>
      <c r="H46" s="255"/>
      <c r="I46" s="270"/>
      <c r="J46" s="258"/>
      <c r="K46" s="166"/>
      <c r="L46" s="166"/>
      <c r="M46" s="167"/>
      <c r="N46" s="166"/>
      <c r="O46" s="166"/>
      <c r="P46" s="167"/>
      <c r="Q46" s="255"/>
      <c r="R46" s="255"/>
      <c r="S46" s="270"/>
      <c r="T46" s="256"/>
      <c r="U46" s="274"/>
      <c r="AG46" s="284"/>
      <c r="AH46" s="284"/>
      <c r="AI46" s="284"/>
      <c r="AK46" s="255"/>
      <c r="AL46" s="255"/>
      <c r="AM46" s="255"/>
      <c r="AN46" s="255"/>
      <c r="AO46" s="281"/>
      <c r="AP46" s="281"/>
      <c r="AQ46" s="255"/>
      <c r="AR46" s="255"/>
      <c r="AS46" s="255"/>
      <c r="AT46" s="255"/>
    </row>
    <row r="47" spans="1:46" ht="19.5" customHeight="1" thickTop="1">
      <c r="C47" s="101"/>
      <c r="D47" s="265" t="str">
        <f>IF(E13-E18=0," ",IF(E13-E18&lt;0,B13,B18))</f>
        <v xml:space="preserve"> </v>
      </c>
      <c r="E47" s="265"/>
      <c r="F47" s="267"/>
      <c r="G47" s="262">
        <f>AP21</f>
        <v>0</v>
      </c>
      <c r="H47" s="164"/>
      <c r="I47" s="164"/>
      <c r="J47" s="166"/>
      <c r="K47" s="166"/>
      <c r="L47" s="166"/>
      <c r="M47" s="167"/>
      <c r="N47" s="166"/>
      <c r="O47" s="166"/>
      <c r="P47" s="167"/>
      <c r="Q47" s="166"/>
      <c r="R47" s="163"/>
      <c r="S47" s="163"/>
      <c r="T47" s="163"/>
    </row>
    <row r="48" spans="1:46" ht="19.5" thickBot="1">
      <c r="C48" s="101"/>
      <c r="D48" s="266"/>
      <c r="E48" s="266"/>
      <c r="F48" s="268"/>
      <c r="G48" s="263"/>
      <c r="H48" s="166"/>
      <c r="I48" s="166"/>
      <c r="J48" s="166"/>
      <c r="K48" s="166"/>
      <c r="L48" s="166"/>
      <c r="M48" s="167"/>
      <c r="N48" s="252" t="str">
        <f>IF(N43-N53=0," ",IF(N43-N53&gt;0,J43,J53))</f>
        <v xml:space="preserve"> </v>
      </c>
      <c r="O48" s="253"/>
      <c r="P48" s="264"/>
      <c r="Q48" s="256">
        <f>AP39</f>
        <v>0</v>
      </c>
      <c r="R48" s="163"/>
      <c r="S48" s="163"/>
      <c r="T48" s="163"/>
      <c r="AG48" s="284" t="s">
        <v>222</v>
      </c>
      <c r="AH48" s="284"/>
      <c r="AI48" s="284"/>
      <c r="AK48" s="253" t="str">
        <f>IF(J40-J45=0," ",IF(J40-J45&lt;0,G40,G45))</f>
        <v xml:space="preserve"> </v>
      </c>
      <c r="AL48" s="253"/>
      <c r="AM48" s="253"/>
      <c r="AN48" s="253"/>
      <c r="AO48" s="278"/>
      <c r="AP48" s="278"/>
      <c r="AQ48" s="253" t="str">
        <f>IF(J50-J55=0," ",IF(J50-J55&lt;0,G50,G55))</f>
        <v xml:space="preserve"> </v>
      </c>
      <c r="AR48" s="253"/>
      <c r="AS48" s="253"/>
      <c r="AT48" s="253"/>
    </row>
    <row r="49" spans="3:46" ht="20.25" thickTop="1" thickBot="1">
      <c r="G49" s="166"/>
      <c r="H49" s="166"/>
      <c r="I49" s="166"/>
      <c r="J49" s="166"/>
      <c r="K49" s="166"/>
      <c r="L49" s="166"/>
      <c r="M49" s="167"/>
      <c r="N49" s="254"/>
      <c r="O49" s="255"/>
      <c r="P49" s="270"/>
      <c r="Q49" s="256"/>
      <c r="R49" s="163"/>
      <c r="S49" s="163"/>
      <c r="T49" s="163"/>
      <c r="AG49" s="284"/>
      <c r="AH49" s="284"/>
      <c r="AI49" s="284"/>
      <c r="AK49" s="255"/>
      <c r="AL49" s="255"/>
      <c r="AM49" s="255"/>
      <c r="AN49" s="255"/>
      <c r="AO49" s="279"/>
      <c r="AP49" s="279"/>
      <c r="AQ49" s="255"/>
      <c r="AR49" s="255"/>
      <c r="AS49" s="255"/>
      <c r="AT49" s="255"/>
    </row>
    <row r="50" spans="3:46" ht="19.5" thickTop="1">
      <c r="G50" s="253" t="str">
        <f>IF(H26-H36=0," ",IF(H26-H36&lt;0,E26,E36))</f>
        <v xml:space="preserve"> </v>
      </c>
      <c r="H50" s="253"/>
      <c r="I50" s="253"/>
      <c r="J50" s="261">
        <f>AO30</f>
        <v>0</v>
      </c>
      <c r="K50" s="166"/>
      <c r="L50" s="166"/>
      <c r="M50" s="167"/>
      <c r="Q50" s="163"/>
      <c r="R50" s="163"/>
      <c r="S50" s="163"/>
      <c r="T50" s="163"/>
    </row>
    <row r="51" spans="3:46" ht="19.5" thickBot="1">
      <c r="G51" s="255"/>
      <c r="H51" s="255"/>
      <c r="I51" s="255"/>
      <c r="J51" s="261"/>
      <c r="K51" s="166"/>
      <c r="L51" s="166"/>
      <c r="M51" s="167"/>
      <c r="Q51" s="163"/>
      <c r="R51" s="163"/>
      <c r="S51" s="163"/>
      <c r="T51" s="163"/>
      <c r="AG51" s="284" t="s">
        <v>223</v>
      </c>
      <c r="AH51" s="284"/>
      <c r="AI51" s="284"/>
      <c r="AK51" s="253" t="str">
        <f>IF(G42-G47=0," ",IF(G42-G47&lt;0,D42,D47))</f>
        <v xml:space="preserve"> </v>
      </c>
      <c r="AL51" s="253"/>
      <c r="AM51" s="253"/>
      <c r="AN51" s="253"/>
      <c r="AO51" s="278"/>
      <c r="AP51" s="278"/>
      <c r="AQ51" s="253" t="str">
        <f>IF(G52-G57=0," ",IF(G52-G57&lt;0,D52,D57))</f>
        <v xml:space="preserve"> </v>
      </c>
      <c r="AR51" s="253"/>
      <c r="AS51" s="253"/>
      <c r="AT51" s="253"/>
    </row>
    <row r="52" spans="3:46" ht="18.75" customHeight="1" thickTop="1" thickBot="1">
      <c r="C52" s="101"/>
      <c r="D52" s="265" t="str">
        <f>IF(E23-E28=0," ",IF(E23-E28&lt;0,B23,B28))</f>
        <v xml:space="preserve"> </v>
      </c>
      <c r="E52" s="265"/>
      <c r="F52" s="265"/>
      <c r="G52" s="271">
        <f>AO24</f>
        <v>0</v>
      </c>
      <c r="H52" s="164"/>
      <c r="I52" s="165"/>
      <c r="J52" s="166"/>
      <c r="K52" s="166"/>
      <c r="L52" s="166"/>
      <c r="M52" s="167"/>
      <c r="Q52" s="163"/>
      <c r="R52" s="163"/>
      <c r="S52" s="163"/>
      <c r="T52" s="163"/>
      <c r="AG52" s="284"/>
      <c r="AH52" s="284"/>
      <c r="AI52" s="284"/>
      <c r="AK52" s="255"/>
      <c r="AL52" s="255"/>
      <c r="AM52" s="255"/>
      <c r="AN52" s="255"/>
      <c r="AO52" s="279"/>
      <c r="AP52" s="279"/>
      <c r="AQ52" s="255"/>
      <c r="AR52" s="255"/>
      <c r="AS52" s="255"/>
      <c r="AT52" s="255"/>
    </row>
    <row r="53" spans="3:46" ht="20.25" thickTop="1" thickBot="1">
      <c r="C53" s="101"/>
      <c r="D53" s="266"/>
      <c r="E53" s="266"/>
      <c r="F53" s="266"/>
      <c r="G53" s="261"/>
      <c r="H53" s="166"/>
      <c r="I53" s="167"/>
      <c r="J53" s="252" t="str">
        <f>IF(J50-J55=0," ",IF(J50-J55&gt;0,G50,G55))</f>
        <v xml:space="preserve"> </v>
      </c>
      <c r="K53" s="253"/>
      <c r="L53" s="253"/>
      <c r="M53" s="264"/>
      <c r="N53" s="263">
        <f>AP36</f>
        <v>0</v>
      </c>
      <c r="Q53" s="163"/>
      <c r="R53" s="163"/>
      <c r="S53" s="163"/>
      <c r="T53" s="163"/>
    </row>
    <row r="54" spans="3:46" ht="20.25" thickTop="1" thickBot="1">
      <c r="D54" s="164"/>
      <c r="E54" s="164"/>
      <c r="F54" s="165"/>
      <c r="G54" s="166"/>
      <c r="H54" s="166"/>
      <c r="I54" s="167"/>
      <c r="J54" s="254"/>
      <c r="K54" s="255"/>
      <c r="L54" s="255"/>
      <c r="M54" s="270"/>
      <c r="N54" s="263"/>
      <c r="Q54" s="163"/>
      <c r="R54" s="163"/>
      <c r="S54" s="163"/>
      <c r="T54" s="163"/>
      <c r="AG54" s="172"/>
      <c r="AH54" s="172"/>
      <c r="AI54" s="172"/>
      <c r="AJ54" s="166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</row>
    <row r="55" spans="3:46" ht="19.5" thickTop="1">
      <c r="D55" s="166"/>
      <c r="E55" s="166"/>
      <c r="F55" s="167"/>
      <c r="G55" s="252" t="str">
        <f>IF(G52-G57=0," ",IF(G52-G57&gt;0,D52,D57))</f>
        <v xml:space="preserve"> </v>
      </c>
      <c r="H55" s="253"/>
      <c r="I55" s="264"/>
      <c r="J55" s="257">
        <f>AP30</f>
        <v>0</v>
      </c>
      <c r="Q55" s="163"/>
      <c r="R55" s="163"/>
      <c r="S55" s="163"/>
      <c r="T55" s="163"/>
      <c r="AG55" s="172"/>
      <c r="AH55" s="172"/>
      <c r="AI55" s="172"/>
      <c r="AJ55" s="166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</row>
    <row r="56" spans="3:46" ht="19.5" thickBot="1">
      <c r="D56" s="166"/>
      <c r="E56" s="166"/>
      <c r="F56" s="167"/>
      <c r="G56" s="254"/>
      <c r="H56" s="255"/>
      <c r="I56" s="270"/>
      <c r="J56" s="258"/>
      <c r="Q56" s="163"/>
      <c r="R56" s="163"/>
      <c r="S56" s="163"/>
      <c r="T56" s="163"/>
      <c r="AG56" s="173"/>
      <c r="AH56" s="173" t="s">
        <v>224</v>
      </c>
      <c r="AI56" s="286" t="str">
        <f>T31</f>
        <v xml:space="preserve"> </v>
      </c>
      <c r="AJ56" s="286"/>
      <c r="AK56" s="286"/>
      <c r="AL56" s="286"/>
      <c r="AM56" s="286"/>
      <c r="AN56" s="286"/>
      <c r="AO56" s="286"/>
      <c r="AP56" s="166"/>
      <c r="AQ56" s="166"/>
      <c r="AR56" s="166"/>
      <c r="AS56" s="166"/>
      <c r="AT56" s="166"/>
    </row>
    <row r="57" spans="3:46" ht="19.5" customHeight="1" thickTop="1">
      <c r="C57" s="101"/>
      <c r="D57" s="265" t="str">
        <f>IF(E33-E38=0," ",IF(E33-E38&lt;0,B33,B38))</f>
        <v xml:space="preserve"> </v>
      </c>
      <c r="E57" s="265"/>
      <c r="F57" s="267"/>
      <c r="G57" s="262">
        <f>AP24</f>
        <v>0</v>
      </c>
      <c r="Q57" s="163"/>
      <c r="R57" s="163"/>
      <c r="S57" s="163"/>
      <c r="T57" s="163"/>
      <c r="AG57" s="172"/>
      <c r="AH57" s="172" t="s">
        <v>219</v>
      </c>
      <c r="AI57" s="286" t="str">
        <f>IF(O22-U45=0," ",IF(O22-U45&lt;0,K21,Q45))</f>
        <v xml:space="preserve"> </v>
      </c>
      <c r="AJ57" s="286"/>
      <c r="AK57" s="286"/>
      <c r="AL57" s="286"/>
      <c r="AM57" s="286"/>
      <c r="AN57" s="286"/>
      <c r="AO57" s="286"/>
      <c r="AP57" s="169"/>
      <c r="AQ57" s="169"/>
      <c r="AR57" s="169"/>
      <c r="AS57" s="169"/>
      <c r="AT57" s="169"/>
    </row>
    <row r="58" spans="3:46" ht="19.5" thickBot="1">
      <c r="C58" s="101"/>
      <c r="D58" s="266"/>
      <c r="E58" s="266"/>
      <c r="F58" s="268"/>
      <c r="G58" s="263"/>
      <c r="Q58" s="163"/>
      <c r="R58" s="163"/>
      <c r="S58" s="163"/>
      <c r="T58" s="163"/>
      <c r="U58" s="168"/>
      <c r="V58" s="168"/>
      <c r="W58" s="168"/>
      <c r="X58" s="168"/>
      <c r="Y58" s="168"/>
      <c r="Z58" s="168"/>
      <c r="AA58" s="285"/>
      <c r="AB58" s="285"/>
      <c r="AC58" s="285"/>
      <c r="AD58" s="285"/>
      <c r="AE58" s="168"/>
      <c r="AF58" s="168"/>
      <c r="AG58" s="172"/>
      <c r="AH58" s="172" t="s">
        <v>220</v>
      </c>
      <c r="AI58" s="286" t="str">
        <f>IF(Q41-Q48=0," ",IF(Q41-Q48&lt;0,N41,N48))</f>
        <v xml:space="preserve"> </v>
      </c>
      <c r="AJ58" s="286"/>
      <c r="AK58" s="286"/>
      <c r="AL58" s="286"/>
      <c r="AM58" s="286"/>
      <c r="AN58" s="286"/>
      <c r="AO58" s="286"/>
      <c r="AP58" s="169"/>
      <c r="AQ58" s="169"/>
      <c r="AR58" s="169"/>
      <c r="AS58" s="169"/>
      <c r="AT58" s="169"/>
    </row>
    <row r="59" spans="3:46" ht="19.5" thickTop="1">
      <c r="Q59" s="163"/>
      <c r="R59" s="163"/>
      <c r="S59" s="163"/>
      <c r="T59" s="163"/>
      <c r="AG59" s="173"/>
      <c r="AH59" s="173" t="s">
        <v>216</v>
      </c>
      <c r="AI59" s="286" t="str">
        <f>IF(N43-N53=0," ",IF(N43-N53&lt;0,J43,J53))</f>
        <v xml:space="preserve"> </v>
      </c>
      <c r="AJ59" s="286"/>
      <c r="AK59" s="286"/>
      <c r="AL59" s="286"/>
      <c r="AM59" s="286"/>
      <c r="AN59" s="286"/>
      <c r="AO59" s="286"/>
      <c r="AP59" s="166"/>
      <c r="AQ59" s="166"/>
      <c r="AR59" s="166"/>
      <c r="AS59" s="166"/>
      <c r="AT59" s="166"/>
    </row>
    <row r="60" spans="3:46">
      <c r="AG60" s="172"/>
      <c r="AH60" s="172" t="s">
        <v>225</v>
      </c>
      <c r="AI60" s="286" t="str">
        <f>IF(AO48-AP48=0," ",IF(AO48-AP48&gt;0,AK48,AQ48))</f>
        <v xml:space="preserve"> </v>
      </c>
      <c r="AJ60" s="286"/>
      <c r="AK60" s="286"/>
      <c r="AL60" s="286"/>
      <c r="AM60" s="286"/>
      <c r="AN60" s="286"/>
      <c r="AO60" s="286"/>
      <c r="AP60" s="169"/>
      <c r="AQ60" s="169"/>
      <c r="AR60" s="169"/>
      <c r="AS60" s="169"/>
      <c r="AT60" s="169"/>
    </row>
    <row r="61" spans="3:46">
      <c r="D61" s="282" t="s">
        <v>218</v>
      </c>
      <c r="E61" s="282"/>
      <c r="F61" s="282"/>
      <c r="G61" s="282" t="s">
        <v>217</v>
      </c>
      <c r="H61" s="282"/>
      <c r="I61" s="282"/>
      <c r="J61" s="282" t="s">
        <v>216</v>
      </c>
      <c r="K61" s="282"/>
      <c r="L61" s="282"/>
      <c r="M61" s="282"/>
      <c r="N61" s="282" t="s">
        <v>220</v>
      </c>
      <c r="O61" s="282"/>
      <c r="P61" s="282"/>
      <c r="Q61" s="283">
        <v>10</v>
      </c>
      <c r="R61" s="283"/>
      <c r="S61" s="283"/>
      <c r="T61" s="283">
        <v>9</v>
      </c>
      <c r="U61" s="283"/>
      <c r="V61" s="283"/>
      <c r="W61" s="283"/>
      <c r="X61" s="170"/>
      <c r="Y61" s="170"/>
      <c r="Z61" s="170"/>
      <c r="AA61" s="282">
        <v>9</v>
      </c>
      <c r="AB61" s="282"/>
      <c r="AC61" s="282"/>
      <c r="AD61" s="282"/>
      <c r="AE61" s="170"/>
      <c r="AF61" s="170"/>
      <c r="AG61" s="172"/>
      <c r="AH61" s="172" t="s">
        <v>226</v>
      </c>
      <c r="AI61" s="286" t="str">
        <f>IF(AO48-AP48=0," ",IF(AO48-AP48&lt;0,AK48,AQ48))</f>
        <v xml:space="preserve"> </v>
      </c>
      <c r="AJ61" s="286"/>
      <c r="AK61" s="286"/>
      <c r="AL61" s="286"/>
      <c r="AM61" s="286"/>
      <c r="AN61" s="286"/>
      <c r="AO61" s="286"/>
      <c r="AP61" s="169"/>
      <c r="AQ61" s="169"/>
      <c r="AR61" s="169"/>
      <c r="AS61" s="169"/>
      <c r="AT61" s="169"/>
    </row>
    <row r="62" spans="3:46">
      <c r="AG62" s="173"/>
      <c r="AH62" s="173" t="s">
        <v>227</v>
      </c>
      <c r="AI62" s="286" t="str">
        <f>IF(AO51-AP51=0," ",IF(AO51-AP51&gt;0,AK51,AQ51))</f>
        <v xml:space="preserve"> </v>
      </c>
      <c r="AJ62" s="286"/>
      <c r="AK62" s="286"/>
      <c r="AL62" s="286"/>
      <c r="AM62" s="286"/>
      <c r="AN62" s="286"/>
      <c r="AO62" s="286"/>
      <c r="AP62" s="166"/>
      <c r="AQ62" s="166"/>
      <c r="AR62" s="166"/>
      <c r="AS62" s="166"/>
      <c r="AT62" s="166"/>
    </row>
    <row r="63" spans="3:46">
      <c r="AG63" s="172"/>
      <c r="AH63" s="172" t="s">
        <v>228</v>
      </c>
      <c r="AI63" s="286" t="str">
        <f>IF(AO51-AP51=0," ",IF(AO51-AP51&lt;0,AK51,AQ51))</f>
        <v xml:space="preserve"> </v>
      </c>
      <c r="AJ63" s="286"/>
      <c r="AK63" s="286"/>
      <c r="AL63" s="286"/>
      <c r="AM63" s="286"/>
      <c r="AN63" s="286"/>
      <c r="AO63" s="286"/>
      <c r="AP63" s="169"/>
      <c r="AQ63" s="169"/>
      <c r="AR63" s="169"/>
      <c r="AS63" s="169"/>
      <c r="AT63" s="169"/>
    </row>
    <row r="64" spans="3:46">
      <c r="AG64" s="172"/>
      <c r="AH64" s="172" t="s">
        <v>229</v>
      </c>
      <c r="AI64" s="286" t="str">
        <f>IF('Первый ЭТАП'!T5=5,'Первый ЭТАП'!E5,IF('Первый ЭТАП'!T6=5,'Первый ЭТАП'!E6,IF('Первый ЭТАП'!T7=5,'Первый ЭТАП'!E7,IF('Первый ЭТАП'!T8=5,'Первый ЭТАП'!E8,IF('Первый ЭТАП'!T9=5,'Первый ЭТАП'!E9)))))</f>
        <v>Ли Александр / Ширяева Елена</v>
      </c>
      <c r="AJ64" s="286"/>
      <c r="AK64" s="286"/>
      <c r="AL64" s="286"/>
      <c r="AM64" s="286"/>
      <c r="AN64" s="286"/>
      <c r="AO64" s="286"/>
      <c r="AP64" s="169"/>
      <c r="AQ64" s="169"/>
      <c r="AR64" s="169"/>
      <c r="AS64" s="169"/>
      <c r="AT64" s="169"/>
    </row>
    <row r="65" spans="33:46">
      <c r="AG65" s="173"/>
      <c r="AH65" s="173" t="s">
        <v>230</v>
      </c>
      <c r="AI65" s="286">
        <f>IF('Первый ЭТАП'!T32=5,'Первый ЭТАП'!E32,IF('Первый ЭТАП'!T33=5,'Первый ЭТАП'!E33,IF('Первый ЭТАП'!T34=5,'Первый ЭТАП'!E34,IF('Первый ЭТАП'!T35=5,'Первый ЭТАП'!E35,IF('Первый ЭТАП'!T36=5,'Первый ЭТАП'!E36)))))</f>
        <v>0</v>
      </c>
      <c r="AJ65" s="286"/>
      <c r="AK65" s="286"/>
      <c r="AL65" s="286"/>
      <c r="AM65" s="286"/>
      <c r="AN65" s="286"/>
      <c r="AO65" s="286"/>
      <c r="AP65" s="166"/>
      <c r="AQ65" s="166"/>
      <c r="AR65" s="166"/>
      <c r="AS65" s="166"/>
      <c r="AT65" s="166"/>
    </row>
    <row r="66" spans="33:46">
      <c r="AG66" s="172"/>
      <c r="AH66" s="172" t="s">
        <v>232</v>
      </c>
      <c r="AI66" s="286" t="str">
        <f>IF('Первый ЭТАП'!T14=5,'Первый ЭТАП'!E14,IF('Первый ЭТАП'!T15=5,'Первый ЭТАП'!E15,IF('Первый ЭТАП'!T16=5,'Первый ЭТАП'!E16,IF('Первый ЭТАП'!T17=5,'Первый ЭТАП'!E17,IF('Первый ЭТАП'!T18=5,'Первый ЭТАП'!E18)))))</f>
        <v>Журавлев Сергей / Симутина Елена</v>
      </c>
      <c r="AJ66" s="286"/>
      <c r="AK66" s="286"/>
      <c r="AL66" s="286"/>
      <c r="AM66" s="286"/>
      <c r="AN66" s="286"/>
      <c r="AO66" s="286"/>
      <c r="AP66" s="169"/>
      <c r="AQ66" s="169"/>
      <c r="AR66" s="169"/>
      <c r="AS66" s="169"/>
      <c r="AT66" s="169"/>
    </row>
    <row r="67" spans="33:46" ht="18.75" customHeight="1">
      <c r="AG67" s="172"/>
      <c r="AH67" s="172" t="s">
        <v>231</v>
      </c>
      <c r="AI67" s="286">
        <f>IF('Первый ЭТАП'!T23=5,'Первый ЭТАП'!E23,IF('Первый ЭТАП'!T24=5,'Первый ЭТАП'!E24,IF('Первый ЭТАП'!T25=5,'Первый ЭТАП'!E25,IF('Первый ЭТАП'!T26=5,'Первый ЭТАП'!E26,IF('Первый ЭТАП'!T27=5,'Первый ЭТАП'!E27)))))</f>
        <v>0</v>
      </c>
      <c r="AJ67" s="286"/>
      <c r="AK67" s="286"/>
      <c r="AL67" s="286"/>
      <c r="AM67" s="286"/>
      <c r="AN67" s="286"/>
      <c r="AO67" s="286"/>
      <c r="AP67" s="169"/>
      <c r="AQ67" s="169"/>
      <c r="AR67" s="169"/>
      <c r="AS67" s="169"/>
      <c r="AT67" s="169"/>
    </row>
    <row r="70" spans="33:46" ht="18.75" customHeight="1"/>
    <row r="73" spans="33:46" ht="18.75" customHeight="1"/>
    <row r="76" spans="33:46" ht="18.75" customHeight="1"/>
  </sheetData>
  <sheetProtection sheet="1" objects="1" scenarios="1"/>
  <mergeCells count="162">
    <mergeCell ref="AI65:AO65"/>
    <mergeCell ref="AI66:AO66"/>
    <mergeCell ref="AI67:AO67"/>
    <mergeCell ref="AI56:AO56"/>
    <mergeCell ref="AI57:AO57"/>
    <mergeCell ref="AI58:AO58"/>
    <mergeCell ref="AI59:AO59"/>
    <mergeCell ref="AI60:AO60"/>
    <mergeCell ref="AI61:AO61"/>
    <mergeCell ref="AI62:AO62"/>
    <mergeCell ref="AI63:AO63"/>
    <mergeCell ref="AI64:AO64"/>
    <mergeCell ref="J61:M61"/>
    <mergeCell ref="G61:I61"/>
    <mergeCell ref="D61:F61"/>
    <mergeCell ref="N41:P42"/>
    <mergeCell ref="Q41:Q42"/>
    <mergeCell ref="Q48:Q49"/>
    <mergeCell ref="Q45:S46"/>
    <mergeCell ref="Q61:S61"/>
    <mergeCell ref="AG33:AI34"/>
    <mergeCell ref="AG36:AI37"/>
    <mergeCell ref="AG45:AI46"/>
    <mergeCell ref="AA58:AD58"/>
    <mergeCell ref="AA61:AD61"/>
    <mergeCell ref="N61:P61"/>
    <mergeCell ref="T61:W61"/>
    <mergeCell ref="AG48:AI49"/>
    <mergeCell ref="AG51:AI52"/>
    <mergeCell ref="AG42:AI43"/>
    <mergeCell ref="AG39:AI40"/>
    <mergeCell ref="J53:M54"/>
    <mergeCell ref="J43:M44"/>
    <mergeCell ref="G50:I51"/>
    <mergeCell ref="G40:I41"/>
    <mergeCell ref="J50:J51"/>
    <mergeCell ref="AO48:AO49"/>
    <mergeCell ref="AP48:AP49"/>
    <mergeCell ref="AQ48:AT49"/>
    <mergeCell ref="AK51:AN52"/>
    <mergeCell ref="AO51:AO52"/>
    <mergeCell ref="AP51:AP52"/>
    <mergeCell ref="AQ51:AT52"/>
    <mergeCell ref="AK42:AN43"/>
    <mergeCell ref="AO42:AO43"/>
    <mergeCell ref="AP42:AP43"/>
    <mergeCell ref="AQ42:AT43"/>
    <mergeCell ref="AK45:AN46"/>
    <mergeCell ref="AO45:AO46"/>
    <mergeCell ref="AP45:AP46"/>
    <mergeCell ref="AQ45:AT46"/>
    <mergeCell ref="AO36:AO37"/>
    <mergeCell ref="AP36:AP37"/>
    <mergeCell ref="AQ36:AT37"/>
    <mergeCell ref="AK39:AN40"/>
    <mergeCell ref="AO39:AO40"/>
    <mergeCell ref="AP39:AP40"/>
    <mergeCell ref="AQ39:AT40"/>
    <mergeCell ref="AK30:AN31"/>
    <mergeCell ref="AO30:AO31"/>
    <mergeCell ref="AP30:AP31"/>
    <mergeCell ref="AQ30:AT31"/>
    <mergeCell ref="AK33:AN34"/>
    <mergeCell ref="AO33:AO34"/>
    <mergeCell ref="AP33:AP34"/>
    <mergeCell ref="AQ33:AT34"/>
    <mergeCell ref="AO24:AO25"/>
    <mergeCell ref="AP24:AP25"/>
    <mergeCell ref="AQ24:AT25"/>
    <mergeCell ref="AK27:AN28"/>
    <mergeCell ref="AO27:AO28"/>
    <mergeCell ref="AP27:AP28"/>
    <mergeCell ref="AQ27:AT28"/>
    <mergeCell ref="AK18:AN19"/>
    <mergeCell ref="AO18:AO19"/>
    <mergeCell ref="AP18:AP19"/>
    <mergeCell ref="AQ18:AT19"/>
    <mergeCell ref="AK21:AN22"/>
    <mergeCell ref="AO21:AO22"/>
    <mergeCell ref="AP21:AP22"/>
    <mergeCell ref="AQ21:AT22"/>
    <mergeCell ref="AQ9:AT10"/>
    <mergeCell ref="AO12:AO13"/>
    <mergeCell ref="AP12:AP13"/>
    <mergeCell ref="AQ12:AT13"/>
    <mergeCell ref="AO15:AO16"/>
    <mergeCell ref="AP15:AP16"/>
    <mergeCell ref="AQ15:AT16"/>
    <mergeCell ref="AK15:AN16"/>
    <mergeCell ref="AQ3:AT4"/>
    <mergeCell ref="AP3:AP4"/>
    <mergeCell ref="AO3:AO4"/>
    <mergeCell ref="AO6:AO7"/>
    <mergeCell ref="AP6:AP7"/>
    <mergeCell ref="AQ6:AT7"/>
    <mergeCell ref="AK12:AN13"/>
    <mergeCell ref="AO9:AO10"/>
    <mergeCell ref="AP9:AP10"/>
    <mergeCell ref="D57:F58"/>
    <mergeCell ref="G45:I46"/>
    <mergeCell ref="G55:I56"/>
    <mergeCell ref="G57:G58"/>
    <mergeCell ref="G52:G53"/>
    <mergeCell ref="G47:G48"/>
    <mergeCell ref="G42:G43"/>
    <mergeCell ref="O22:O23"/>
    <mergeCell ref="AK3:AN4"/>
    <mergeCell ref="AK6:AN7"/>
    <mergeCell ref="AK9:AN10"/>
    <mergeCell ref="N48:P49"/>
    <mergeCell ref="T45:T46"/>
    <mergeCell ref="N53:N54"/>
    <mergeCell ref="N43:N44"/>
    <mergeCell ref="T31:W32"/>
    <mergeCell ref="U45:U46"/>
    <mergeCell ref="AK24:AN25"/>
    <mergeCell ref="AK36:AN37"/>
    <mergeCell ref="AK48:AN49"/>
    <mergeCell ref="N22:N23"/>
    <mergeCell ref="B28:D29"/>
    <mergeCell ref="B38:D39"/>
    <mergeCell ref="K21:M23"/>
    <mergeCell ref="A3:A4"/>
    <mergeCell ref="A38:A39"/>
    <mergeCell ref="A33:A34"/>
    <mergeCell ref="A28:A29"/>
    <mergeCell ref="E38:E39"/>
    <mergeCell ref="E33:E34"/>
    <mergeCell ref="E28:E29"/>
    <mergeCell ref="A23:A24"/>
    <mergeCell ref="A18:A19"/>
    <mergeCell ref="A13:A14"/>
    <mergeCell ref="A8:A9"/>
    <mergeCell ref="B3:D4"/>
    <mergeCell ref="B33:D34"/>
    <mergeCell ref="B8:D9"/>
    <mergeCell ref="B13:D14"/>
    <mergeCell ref="B18:D19"/>
    <mergeCell ref="B23:D24"/>
    <mergeCell ref="E3:E4"/>
    <mergeCell ref="E23:E24"/>
    <mergeCell ref="H26:H27"/>
    <mergeCell ref="H36:H37"/>
    <mergeCell ref="E6:G7"/>
    <mergeCell ref="E16:G17"/>
    <mergeCell ref="J40:J41"/>
    <mergeCell ref="J55:J56"/>
    <mergeCell ref="J45:J46"/>
    <mergeCell ref="K32:K33"/>
    <mergeCell ref="K12:K13"/>
    <mergeCell ref="H6:H7"/>
    <mergeCell ref="H11:J13"/>
    <mergeCell ref="E13:E14"/>
    <mergeCell ref="H16:H17"/>
    <mergeCell ref="E18:E19"/>
    <mergeCell ref="E8:E9"/>
    <mergeCell ref="E26:G27"/>
    <mergeCell ref="E36:G37"/>
    <mergeCell ref="H31:J33"/>
    <mergeCell ref="D42:F43"/>
    <mergeCell ref="D47:F48"/>
    <mergeCell ref="D52:F5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7030A0"/>
  </sheetPr>
  <dimension ref="C3:J26"/>
  <sheetViews>
    <sheetView topLeftCell="A4" workbookViewId="0">
      <selection activeCell="F18" sqref="F18"/>
    </sheetView>
  </sheetViews>
  <sheetFormatPr defaultRowHeight="15"/>
  <cols>
    <col min="3" max="3" width="3.85546875" bestFit="1" customWidth="1"/>
    <col min="4" max="4" width="55.28515625" customWidth="1"/>
    <col min="5" max="5" width="9.28515625" customWidth="1"/>
    <col min="8" max="8" width="3.85546875" bestFit="1" customWidth="1"/>
    <col min="9" max="9" width="48.140625" bestFit="1" customWidth="1"/>
    <col min="10" max="10" width="7.42578125" bestFit="1" customWidth="1"/>
  </cols>
  <sheetData>
    <row r="3" spans="3:10">
      <c r="C3" s="287" t="s">
        <v>234</v>
      </c>
      <c r="D3" s="287"/>
      <c r="E3" s="287"/>
      <c r="H3" s="287" t="s">
        <v>233</v>
      </c>
      <c r="I3" s="287"/>
      <c r="J3" s="287"/>
    </row>
    <row r="4" spans="3:10" ht="15.75" thickBot="1"/>
    <row r="5" spans="3:10" ht="19.5" thickBot="1">
      <c r="C5" s="196" t="s">
        <v>10</v>
      </c>
      <c r="D5" s="197"/>
      <c r="E5" s="198"/>
      <c r="H5" s="196" t="s">
        <v>10</v>
      </c>
      <c r="I5" s="197"/>
      <c r="J5" s="198"/>
    </row>
    <row r="6" spans="3:10" ht="19.5" thickBot="1">
      <c r="C6" s="14" t="s">
        <v>0</v>
      </c>
      <c r="D6" s="15" t="s">
        <v>5</v>
      </c>
      <c r="E6" s="16" t="s">
        <v>2</v>
      </c>
      <c r="H6" s="14" t="s">
        <v>0</v>
      </c>
      <c r="I6" s="15" t="s">
        <v>5</v>
      </c>
      <c r="J6" s="16" t="s">
        <v>2</v>
      </c>
    </row>
    <row r="7" spans="3:10" ht="20.100000000000001" customHeight="1">
      <c r="C7" s="17">
        <v>1</v>
      </c>
      <c r="D7" s="158" t="str">
        <f>INDEX('Финал и доигровки'!G7:AB14,MATCH(1,'Финал и доигровки'!AB7:AB14,0),1)</f>
        <v>Попов Михаил / Фокина Алла</v>
      </c>
      <c r="E7" s="21">
        <v>20</v>
      </c>
      <c r="H7" s="17">
        <v>1</v>
      </c>
      <c r="I7" s="161" t="str">
        <f>D7</f>
        <v>Попов Михаил / Фокина Алла</v>
      </c>
      <c r="J7" s="21">
        <v>20</v>
      </c>
    </row>
    <row r="8" spans="3:10" ht="20.100000000000001" customHeight="1">
      <c r="C8" s="18">
        <v>2</v>
      </c>
      <c r="D8" s="100" t="str">
        <f>INDEX('Финал и доигровки'!G7:AB14,MATCH(2,'Финал и доигровки'!AB7:AB14,0),1)</f>
        <v>Андреев Андрей / Ширяева Варвара</v>
      </c>
      <c r="E8" s="22">
        <v>17</v>
      </c>
      <c r="H8" s="18">
        <v>2</v>
      </c>
      <c r="I8" s="81" t="e">
        <f>-D8</f>
        <v>#VALUE!</v>
      </c>
      <c r="J8" s="22">
        <v>17</v>
      </c>
    </row>
    <row r="9" spans="3:10" ht="20.100000000000001" customHeight="1">
      <c r="C9" s="18">
        <v>3</v>
      </c>
      <c r="D9" s="100" t="str">
        <f>INDEX('Финал и доигровки'!G7:AB14,MATCH(3,'Финал и доигровки'!AB7:AB14,0),1)</f>
        <v>Попов Иван / Гатайло Светлана</v>
      </c>
      <c r="E9" s="22">
        <v>15</v>
      </c>
      <c r="H9" s="18">
        <v>3</v>
      </c>
      <c r="I9" s="81" t="e">
        <f>-D9</f>
        <v>#VALUE!</v>
      </c>
      <c r="J9" s="22">
        <v>15</v>
      </c>
    </row>
    <row r="10" spans="3:10" ht="20.100000000000001" customHeight="1">
      <c r="C10" s="18">
        <v>4</v>
      </c>
      <c r="D10" s="100" t="str">
        <f>INDEX('Финал и доигровки'!G7:AB14,MATCH(4,'Финал и доигровки'!AB7:AB14,0),1)</f>
        <v>Бурдо Сергей / Шпиленок Лидия</v>
      </c>
      <c r="E10" s="22">
        <v>14</v>
      </c>
      <c r="H10" s="18">
        <v>4</v>
      </c>
      <c r="I10" s="81" t="e">
        <f>-D10</f>
        <v>#VALUE!</v>
      </c>
      <c r="J10" s="22">
        <v>14</v>
      </c>
    </row>
    <row r="11" spans="3:10" ht="20.100000000000001" customHeight="1">
      <c r="C11" s="18">
        <v>5</v>
      </c>
      <c r="D11" s="100" t="str">
        <f>INDEX('Финал и доигровки'!G7:AB14,MATCH(5,'Финал и доигровки'!AB7:AB14,0),1)</f>
        <v>Стыкалин Владимир / Шабанова Светлана</v>
      </c>
      <c r="E11" s="22">
        <v>13</v>
      </c>
      <c r="H11" s="18">
        <v>5</v>
      </c>
      <c r="I11" s="81" t="e">
        <f>-D11</f>
        <v>#VALUE!</v>
      </c>
      <c r="J11" s="22">
        <v>13</v>
      </c>
    </row>
    <row r="12" spans="3:10" ht="20.100000000000001" customHeight="1">
      <c r="C12" s="18">
        <v>6</v>
      </c>
      <c r="D12" s="100" t="str">
        <f>INDEX('Финал и доигровки'!G7:AB14,MATCH(6,'Финал и доигровки'!AB7:AB14,0),1)</f>
        <v>Лукин Сергей / Князева Елена</v>
      </c>
      <c r="E12" s="22">
        <v>12</v>
      </c>
      <c r="H12" s="18">
        <v>6</v>
      </c>
      <c r="I12" s="81" t="str">
        <f>D12</f>
        <v>Лукин Сергей / Князева Елена</v>
      </c>
      <c r="J12" s="22">
        <v>12</v>
      </c>
    </row>
    <row r="13" spans="3:10" ht="20.100000000000001" customHeight="1">
      <c r="C13" s="18">
        <v>7</v>
      </c>
      <c r="D13" s="100" t="str">
        <f>INDEX('Финал и доигровки'!G7:AB14,MATCH(7,'Финал и доигровки'!AB7:AB14,0),1)</f>
        <v>Домарев Андрей / Сизова Дарья</v>
      </c>
      <c r="E13" s="22">
        <v>11</v>
      </c>
      <c r="H13" s="18">
        <v>7</v>
      </c>
      <c r="I13" s="81" t="str">
        <f>D13</f>
        <v>Домарев Андрей / Сизова Дарья</v>
      </c>
      <c r="J13" s="22">
        <v>11</v>
      </c>
    </row>
    <row r="14" spans="3:10" ht="20.100000000000001" customHeight="1">
      <c r="C14" s="18">
        <v>8</v>
      </c>
      <c r="D14" s="100" t="str">
        <f>INDEX('Финал и доигровки'!G7:AB14,MATCH(8,'Финал и доигровки'!AB7:AB14,0),1)</f>
        <v>Попов Дмитрий / Ерасова Екатерина</v>
      </c>
      <c r="E14" s="22">
        <v>10</v>
      </c>
      <c r="H14" s="18">
        <v>8</v>
      </c>
      <c r="I14" s="81" t="str">
        <f>D14</f>
        <v>Попов Дмитрий / Ерасова Екатерина</v>
      </c>
      <c r="J14" s="22">
        <v>10</v>
      </c>
    </row>
    <row r="15" spans="3:10" ht="20.100000000000001" customHeight="1">
      <c r="C15" s="18">
        <v>9</v>
      </c>
      <c r="D15" s="100" t="str">
        <f>INDEX('Финал и доигровки'!G20:AB27,MATCH(9,'Финал и доигровки'!AB20:AB27,0),1)</f>
        <v>Дуплякин Юрий / Дуплякина Анна</v>
      </c>
      <c r="E15" s="22">
        <v>9</v>
      </c>
      <c r="H15" s="18">
        <v>9</v>
      </c>
      <c r="I15" s="81" t="str">
        <f>'Олимп. до 2-х поражений'!AI56</f>
        <v xml:space="preserve"> </v>
      </c>
      <c r="J15" s="22">
        <v>9</v>
      </c>
    </row>
    <row r="16" spans="3:10" ht="20.100000000000001" customHeight="1">
      <c r="C16" s="18">
        <v>10</v>
      </c>
      <c r="D16" s="100" t="str">
        <f>INDEX('Финал и доигровки'!G20:AB27,MATCH(10,'Финал и доигровки'!AB20:AB27,0),1)</f>
        <v>Галанов Михаил / Егорова Злата</v>
      </c>
      <c r="E16" s="22">
        <v>8</v>
      </c>
      <c r="H16" s="18">
        <v>10</v>
      </c>
      <c r="I16" s="81" t="str">
        <f>'Олимп. до 2-х поражений'!AI57</f>
        <v xml:space="preserve"> </v>
      </c>
      <c r="J16" s="22">
        <v>8</v>
      </c>
    </row>
    <row r="17" spans="3:10" ht="20.100000000000001" customHeight="1">
      <c r="C17" s="18">
        <v>11</v>
      </c>
      <c r="D17" s="100" t="str">
        <f>INDEX('Финал и доигровки'!G20:AB27,MATCH(11,'Финал и доигровки'!AB20:AB27,0),1)</f>
        <v>Фахретдинов Фоат / Фахретдинова Джамиля*</v>
      </c>
      <c r="E17" s="22">
        <v>7</v>
      </c>
      <c r="H17" s="18">
        <v>11</v>
      </c>
      <c r="I17" s="81" t="str">
        <f>'Олимп. до 2-х поражений'!AI58</f>
        <v xml:space="preserve"> </v>
      </c>
      <c r="J17" s="22">
        <v>7</v>
      </c>
    </row>
    <row r="18" spans="3:10" ht="20.100000000000001" customHeight="1">
      <c r="C18" s="18">
        <v>12</v>
      </c>
      <c r="D18" s="100" t="str">
        <f>INDEX('Финал и доигровки'!G20:AB27,MATCH(12,'Финал и доигровки'!AB20:AB27,0),1)</f>
        <v>Саморуков Юрий / Преснякова Елена</v>
      </c>
      <c r="E18" s="22">
        <v>6</v>
      </c>
      <c r="H18" s="18">
        <v>12</v>
      </c>
      <c r="I18" s="81" t="str">
        <f>'Олимп. до 2-х поражений'!AI59</f>
        <v xml:space="preserve"> </v>
      </c>
      <c r="J18" s="22">
        <v>6</v>
      </c>
    </row>
    <row r="19" spans="3:10" ht="20.100000000000001" customHeight="1">
      <c r="C19" s="18">
        <v>13</v>
      </c>
      <c r="D19" s="100" t="str">
        <f>INDEX('Финал и доигровки'!G20:AB27,MATCH(13,'Финал и доигровки'!AB20:AB27,0),1)</f>
        <v>Еремеев Евгений / Алексеева Елена</v>
      </c>
      <c r="E19" s="22">
        <v>5</v>
      </c>
      <c r="H19" s="18">
        <v>13</v>
      </c>
      <c r="I19" s="81" t="str">
        <f>'Олимп. до 2-х поражений'!AI60</f>
        <v xml:space="preserve"> </v>
      </c>
      <c r="J19" s="22">
        <v>5</v>
      </c>
    </row>
    <row r="20" spans="3:10" ht="20.100000000000001" customHeight="1">
      <c r="C20" s="18">
        <v>14</v>
      </c>
      <c r="D20" s="100" t="str">
        <f>INDEX('Финал и доигровки'!G20:AB27,MATCH(14,'Финал и доигровки'!AB20:AB27,0),1)</f>
        <v>Беликов Алексей / Егорова Мария</v>
      </c>
      <c r="E20" s="22">
        <v>4</v>
      </c>
      <c r="H20" s="18">
        <v>14</v>
      </c>
      <c r="I20" s="81" t="str">
        <f>'Олимп. до 2-х поражений'!AI61</f>
        <v xml:space="preserve"> </v>
      </c>
      <c r="J20" s="22">
        <v>4</v>
      </c>
    </row>
    <row r="21" spans="3:10" ht="20.100000000000001" customHeight="1">
      <c r="C21" s="18">
        <v>15</v>
      </c>
      <c r="D21" s="100" t="str">
        <f>INDEX('Финал и доигровки'!G20:AB27,MATCH(15,'Финал и доигровки'!AB20:AB27,0),1)</f>
        <v>Карпов Илья / Егорова Анна</v>
      </c>
      <c r="E21" s="22">
        <v>3</v>
      </c>
      <c r="H21" s="18">
        <v>15</v>
      </c>
      <c r="I21" s="81" t="str">
        <f>'Олимп. до 2-х поражений'!AI62</f>
        <v xml:space="preserve"> </v>
      </c>
      <c r="J21" s="22">
        <v>3</v>
      </c>
    </row>
    <row r="22" spans="3:10" ht="20.100000000000001" customHeight="1">
      <c r="C22" s="18">
        <v>16</v>
      </c>
      <c r="D22" s="100" t="str">
        <f>INDEX('Финал и доигровки'!G20:AB27,MATCH(16,'Финал и доигровки'!AB20:AB27,0),1)</f>
        <v>Чекулаев Михаил / Берсенева Елизавета</v>
      </c>
      <c r="E22" s="22">
        <v>2</v>
      </c>
      <c r="H22" s="18">
        <v>16</v>
      </c>
      <c r="I22" s="81" t="str">
        <f>'Олимп. до 2-х поражений'!AI63</f>
        <v xml:space="preserve"> </v>
      </c>
      <c r="J22" s="22">
        <v>2</v>
      </c>
    </row>
    <row r="23" spans="3:10" ht="20.100000000000001" customHeight="1">
      <c r="C23" s="18">
        <v>17</v>
      </c>
      <c r="D23" s="100" t="str">
        <f>INDEX('Первый ЭТАП'!E5:T9,MATCH(5,'Первый ЭТАП'!T5:T9,0),1)</f>
        <v>Ли Александр / Ширяева Елена</v>
      </c>
      <c r="E23" s="22">
        <v>1</v>
      </c>
      <c r="H23" s="18">
        <v>17</v>
      </c>
      <c r="I23" s="81" t="str">
        <f>'Олимп. до 2-х поражений'!AI64</f>
        <v>Ли Александр / Ширяева Елена</v>
      </c>
      <c r="J23" s="22">
        <v>1</v>
      </c>
    </row>
    <row r="24" spans="3:10" ht="20.100000000000001" customHeight="1">
      <c r="C24" s="18">
        <v>18</v>
      </c>
      <c r="D24" s="100" t="str">
        <f>INDEX('Первый ЭТАП'!E14:T18,MATCH(5,'Первый ЭТАП'!T14:T18,0),1)</f>
        <v>Журавлев Сергей / Симутина Елена</v>
      </c>
      <c r="E24" s="22">
        <v>1</v>
      </c>
      <c r="H24" s="18">
        <v>18</v>
      </c>
      <c r="I24" s="81">
        <f>'Олимп. до 2-х поражений'!AI65</f>
        <v>0</v>
      </c>
      <c r="J24" s="22">
        <v>1</v>
      </c>
    </row>
    <row r="25" spans="3:10" ht="20.100000000000001" customHeight="1">
      <c r="C25" s="18">
        <v>19</v>
      </c>
      <c r="D25" s="100">
        <f>INDEX('Первый ЭТАП'!E23:T27,MATCH(5,'Первый ЭТАП'!T23:T27,0),1)</f>
        <v>0</v>
      </c>
      <c r="E25" s="22">
        <v>1</v>
      </c>
      <c r="H25" s="18">
        <v>19</v>
      </c>
      <c r="I25" s="81" t="str">
        <f>'Олимп. до 2-х поражений'!AI66</f>
        <v>Журавлев Сергей / Симутина Елена</v>
      </c>
      <c r="J25" s="22">
        <v>1</v>
      </c>
    </row>
    <row r="26" spans="3:10" ht="20.100000000000001" customHeight="1">
      <c r="C26" s="18">
        <v>20</v>
      </c>
      <c r="D26" s="100">
        <f>INDEX('Первый ЭТАП'!E32:T36,MATCH(5,'Первый ЭТАП'!T32:T36,0),1)</f>
        <v>0</v>
      </c>
      <c r="E26" s="22">
        <v>1</v>
      </c>
      <c r="H26" s="18">
        <v>20</v>
      </c>
      <c r="I26" s="81">
        <f>'Олимп. до 2-х поражений'!AI67</f>
        <v>0</v>
      </c>
      <c r="J26" s="22">
        <v>1</v>
      </c>
    </row>
  </sheetData>
  <sheetProtection sheet="1" objects="1" scenarios="1"/>
  <mergeCells count="4">
    <mergeCell ref="C5:E5"/>
    <mergeCell ref="H5:J5"/>
    <mergeCell ref="H3:J3"/>
    <mergeCell ref="C3:E3"/>
  </mergeCells>
  <conditionalFormatting sqref="A1:XFD2 A4:XFD1048576 A3:C3 K3:XFD3 F3:H3">
    <cfRule type="containsText" dxfId="0" priority="1" operator="containsText" text="#Н/Д">
      <formula>NOT(ISERROR(SEARCH("#Н/Д",A1)))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Участники</vt:lpstr>
      <vt:lpstr>Первый ЭТАП</vt:lpstr>
      <vt:lpstr>Расписание игр Этапа 1</vt:lpstr>
      <vt:lpstr>Финал и доигровки</vt:lpstr>
      <vt:lpstr>Расписание игр Этапа 2</vt:lpstr>
      <vt:lpstr>Олимп. до 2-х поражений</vt:lpstr>
      <vt:lpstr>Итоговый протокол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2019-07-02T19:23:35Z</dcterms:modified>
</cp:coreProperties>
</file>